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190" tabRatio="782" firstSheet="1" activeTab="1"/>
  </bookViews>
  <sheets>
    <sheet name="DA RATES" sheetId="1" state="hidden" r:id="rId1"/>
    <sheet name="INPUT DATA" sheetId="2" r:id="rId2"/>
    <sheet name="ARREAR CALCULATION" sheetId="3" r:id="rId3"/>
    <sheet name="PERKS ARREARS" sheetId="4" r:id="rId4"/>
    <sheet name="TOTAL ARREARS" sheetId="5" r:id="rId5"/>
  </sheets>
  <definedNames/>
  <calcPr fullCalcOnLoad="1"/>
</workbook>
</file>

<file path=xl/sharedStrings.xml><?xml version="1.0" encoding="utf-8"?>
<sst xmlns="http://schemas.openxmlformats.org/spreadsheetml/2006/main" count="252" uniqueCount="168">
  <si>
    <t>NAME</t>
  </si>
  <si>
    <t>LEVEL</t>
  </si>
  <si>
    <t>W6</t>
  </si>
  <si>
    <t>S1</t>
  </si>
  <si>
    <t>W2</t>
  </si>
  <si>
    <t>A4</t>
  </si>
  <si>
    <t>W7</t>
  </si>
  <si>
    <t>S2</t>
  </si>
  <si>
    <t>A3</t>
  </si>
  <si>
    <t>S3</t>
  </si>
  <si>
    <t>W5</t>
  </si>
  <si>
    <t>W4</t>
  </si>
  <si>
    <t>A2</t>
  </si>
  <si>
    <t>A1</t>
  </si>
  <si>
    <t>W1</t>
  </si>
  <si>
    <t>W3</t>
  </si>
  <si>
    <t>TC</t>
  </si>
  <si>
    <t>BASIC PAY</t>
  </si>
  <si>
    <t>JAN, FEB, MAR-2010</t>
  </si>
  <si>
    <t>OCT, NOV, DEC-2009</t>
  </si>
  <si>
    <t>JUL, AUG, SEP-2009</t>
  </si>
  <si>
    <t>APR, MAY, JUN-2009</t>
  </si>
  <si>
    <t>JAN, FEB, MAR-2009</t>
  </si>
  <si>
    <t>OCT, NOV, DEC-2008</t>
  </si>
  <si>
    <t>JUL, AUG, SEP-2008</t>
  </si>
  <si>
    <t>APR, MAY, JUN-2008</t>
  </si>
  <si>
    <t>JAN, FEB, MAR-2008</t>
  </si>
  <si>
    <t>OCT, NOV, DEC-2007</t>
  </si>
  <si>
    <t>JUL, AUG, SEP-2007</t>
  </si>
  <si>
    <t>APR, MAY, JUN-2007</t>
  </si>
  <si>
    <t>JAN, FEB, MAR-2007</t>
  </si>
  <si>
    <t>NEW</t>
  </si>
  <si>
    <t>OLD</t>
  </si>
  <si>
    <t>MONTH</t>
  </si>
  <si>
    <t>S4</t>
  </si>
  <si>
    <t>W.E.F. 01.01.2008</t>
  </si>
  <si>
    <t>MONTHLY ADHOC ADV</t>
  </si>
  <si>
    <t>LUMPSUM ADJ ADVANCE</t>
  </si>
  <si>
    <t>SCALE (Rs.)</t>
  </si>
  <si>
    <t>SCALE</t>
  </si>
  <si>
    <t>New Basic</t>
  </si>
  <si>
    <t>Old Basic</t>
  </si>
  <si>
    <t>End Date</t>
  </si>
  <si>
    <t>Start Date</t>
  </si>
  <si>
    <t>NEW BASIC 
(as on 01.01.2007)</t>
  </si>
  <si>
    <t>FITMENT BENEFIT ON (A)</t>
  </si>
  <si>
    <t>TOTAL (A)</t>
  </si>
  <si>
    <t xml:space="preserve">DA </t>
  </si>
  <si>
    <t>BASIC PAY 
(as on 01.01.2007)</t>
  </si>
  <si>
    <t>FIXATION OF BASIC PAY</t>
  </si>
  <si>
    <t>CPF NO.</t>
  </si>
  <si>
    <t>DESIGNATION</t>
  </si>
  <si>
    <t>NET AMOUNT PAYABLE/RECOVERABLE</t>
  </si>
  <si>
    <t>TOTAL</t>
  </si>
  <si>
    <t>DIFF</t>
  </si>
  <si>
    <t>DRAWN</t>
  </si>
  <si>
    <t xml:space="preserve">DUE </t>
  </si>
  <si>
    <t>DUE</t>
  </si>
  <si>
    <t>MONTHS</t>
  </si>
  <si>
    <t>LUMPSUM ADJ. ADV.</t>
  </si>
  <si>
    <t>MONTHLY ADHOC ADV.</t>
  </si>
  <si>
    <t>VDA</t>
  </si>
  <si>
    <t>DEARNESS PAY</t>
  </si>
  <si>
    <t>NO. OF</t>
  </si>
  <si>
    <t>YEAR</t>
  </si>
  <si>
    <t>STATEMENT SHOWING PAY REVISION ARREARS W.E.F. 01.01.2007</t>
  </si>
  <si>
    <t>MERIT SCHOLARSHIP</t>
  </si>
  <si>
    <t>TRANSPORT ALLOWANCE</t>
  </si>
  <si>
    <t>DSCA</t>
  </si>
  <si>
    <t>CANTEEN SUBSIDY</t>
  </si>
  <si>
    <t>PROD ALLOW</t>
  </si>
  <si>
    <t>DA (A1 CITIES)</t>
  </si>
  <si>
    <t>PG (A1 CITIES)</t>
  </si>
  <si>
    <t>ADD : ADDL. INCREMENT</t>
  </si>
  <si>
    <t>TOTAL (B)</t>
  </si>
  <si>
    <t>1997 Compensation</t>
  </si>
  <si>
    <t>Old DP</t>
  </si>
  <si>
    <t xml:space="preserve">Perks Revision Arrears </t>
  </si>
  <si>
    <t>Rate of Cafeteria</t>
  </si>
  <si>
    <t>Revised Basic Pay as on 01.01.2008</t>
  </si>
  <si>
    <t>Revised Basic Pay as on 01.01.2009</t>
  </si>
  <si>
    <t>Revised Basic Pay as on 01.01.2010</t>
  </si>
  <si>
    <t>Gross CEA/HS/MS drawn during the year 2008-09</t>
  </si>
  <si>
    <t>Gross CEA/HS/MS drawn during the year 2009-10</t>
  </si>
  <si>
    <t xml:space="preserve">Trnsprt Subsidy drawn during year 2008-09 </t>
  </si>
  <si>
    <t>Trnsprt Subsidy drawn during year 2009-10</t>
  </si>
  <si>
    <t>DSCA received  per month</t>
  </si>
  <si>
    <t>Total LFA received between the period 2006-09</t>
  </si>
  <si>
    <t>H/Home received between the period 2008-09</t>
  </si>
  <si>
    <t>White Goods Amount received</t>
  </si>
  <si>
    <t>Conveyance (Rs. 800/- for Car or Rs. 500 for Bike)</t>
  </si>
  <si>
    <t>Canteen Subsidy per month</t>
  </si>
  <si>
    <t>Other Allowances paid during the year 2008-10</t>
  </si>
  <si>
    <t>Month</t>
  </si>
  <si>
    <t>Basic</t>
  </si>
  <si>
    <t>Lumpsum Perks</t>
  </si>
  <si>
    <t>CEA</t>
  </si>
  <si>
    <t>Transport Subsidy</t>
  </si>
  <si>
    <t>Transport Allowance</t>
  </si>
  <si>
    <t>LFA</t>
  </si>
  <si>
    <t>Holiday Home</t>
  </si>
  <si>
    <t xml:space="preserve">W/Good 
Maint. Charge </t>
  </si>
  <si>
    <t>Other Allowances</t>
  </si>
  <si>
    <r>
      <t xml:space="preserve">Arrear 
</t>
    </r>
    <r>
      <rPr>
        <b/>
        <sz val="8"/>
        <color indexed="8"/>
        <rFont val="Verdana"/>
        <family val="2"/>
      </rPr>
      <t>( Lumpsum-Perks)</t>
    </r>
  </si>
  <si>
    <t>Nov'08</t>
  </si>
  <si>
    <t>Dec'08</t>
  </si>
  <si>
    <t>Jan'09</t>
  </si>
  <si>
    <t>Feb'09</t>
  </si>
  <si>
    <t>Mar'09</t>
  </si>
  <si>
    <t>Apr'09</t>
  </si>
  <si>
    <t>May'09</t>
  </si>
  <si>
    <t>Jun'09</t>
  </si>
  <si>
    <t>Jul'09</t>
  </si>
  <si>
    <t>Aug'09</t>
  </si>
  <si>
    <t>Sep'09</t>
  </si>
  <si>
    <t>Oct'09</t>
  </si>
  <si>
    <t>Nov'09</t>
  </si>
  <si>
    <t>Dec'09</t>
  </si>
  <si>
    <t>Jan'10</t>
  </si>
  <si>
    <t>Feb'10</t>
  </si>
  <si>
    <t>Mar'10</t>
  </si>
  <si>
    <t>APR, MAY, JUN-2010</t>
  </si>
  <si>
    <t>JUL, AUG, SEP-2010</t>
  </si>
  <si>
    <t>OLD RATE</t>
  </si>
  <si>
    <t>HOUSE RENT ALLOWANCE</t>
  </si>
  <si>
    <t>WITHOUT HRA</t>
  </si>
  <si>
    <t>WITH HRA</t>
  </si>
  <si>
    <t>Scale</t>
  </si>
  <si>
    <t>LEAVE ENCASHMENT</t>
  </si>
  <si>
    <t>MONTH/YEAR</t>
  </si>
  <si>
    <t>DAYS</t>
  </si>
  <si>
    <t>WITH LEAVE ENC</t>
  </si>
  <si>
    <t>Canteen</t>
  </si>
  <si>
    <t>TOTAL ARREARS</t>
  </si>
  <si>
    <t>HRA</t>
  </si>
  <si>
    <t>GROSS ARREARS</t>
  </si>
  <si>
    <t>LESS:</t>
  </si>
  <si>
    <t>ARREARS UPTO 31.03.2010</t>
  </si>
  <si>
    <t xml:space="preserve">DSCA </t>
  </si>
  <si>
    <t>LESS CLAIMS MADE IN THE YEAR 2010 :-</t>
  </si>
  <si>
    <t>CHILDREN EDUCATION ALLOWANCE</t>
  </si>
  <si>
    <t>CHILDREN TRANSPORT SUBSIDY</t>
  </si>
  <si>
    <t>HOLIDAY HOME (2010-11)</t>
  </si>
  <si>
    <t>LEAVE FARE ASSITANCE (LFA - 2010-2013)</t>
  </si>
  <si>
    <t>WHITE GOODS PERKS RECOVERY</t>
  </si>
  <si>
    <t>GROSS CAFETERIA</t>
  </si>
  <si>
    <t>ARREARS FROM APRIL 2010 TO SEPTEMBER 2010</t>
  </si>
  <si>
    <t xml:space="preserve">CPF CONTRIBUTION @ 12% </t>
  </si>
  <si>
    <t>INCOME TAX DEDUCTION</t>
  </si>
  <si>
    <t>ENTER SLAB</t>
  </si>
  <si>
    <t>CAFETERIA 
(FROM 26.11.2008 UPTO 31.03.2010)</t>
  </si>
  <si>
    <t>CAFETERIA
(FROM 01.04.2010 UPTO 30.09.2010)</t>
  </si>
  <si>
    <t>FULL YEAR AMOUNT</t>
  </si>
  <si>
    <t>PER MONTH AMOUNT</t>
  </si>
  <si>
    <t>FULL BLOCK YEAR AMOUNT</t>
  </si>
  <si>
    <t>PAY + DA</t>
  </si>
  <si>
    <t>REVISED RATE</t>
  </si>
  <si>
    <t>IF HRA IS PAID, ELSE "0"</t>
  </si>
  <si>
    <t>CALCULATION OF ARREARS W.E.F. 01.01.2007</t>
  </si>
  <si>
    <t>AMOUNT</t>
  </si>
  <si>
    <t>FILL SCALE FROM HERE</t>
  </si>
  <si>
    <t>BY: ANURAG PRAKASH (MOB: 09410390436)</t>
  </si>
  <si>
    <t>FILL IN ALL BLUE CELLS, UPDATE SCALE CODE OF EACH YEAR FROM TABLE PROVIDED</t>
  </si>
  <si>
    <t xml:space="preserve">FILL IN ALL BLUE CELLS AS INDICATED </t>
  </si>
  <si>
    <t>NET ARREARS AFTER I.TAX</t>
  </si>
  <si>
    <t>YOUR NAME</t>
  </si>
  <si>
    <t>YOUR DESIGNATION</t>
  </si>
  <si>
    <t>YOUR CPF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</si>
</sst>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_(* #,##0_);_(* \(#,##0\);_(* &quot;-&quot;??_);_(@_)"/>
    <numFmt numFmtId="171" formatCode="&quot;$&quot;#,##0.00"/>
    <numFmt numFmtId="172" formatCode="0.0"/>
    <numFmt numFmtId="173" formatCode="[$-409]dddd\,\ mmmm\ dd\,\ yyyy"/>
    <numFmt numFmtId="174" formatCode="[$-409]h:mm:ss\ AM/PM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color indexed="8"/>
      <name val="Book Antiqua"/>
      <family val="1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1"/>
      <color indexed="8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u val="single"/>
      <sz val="14"/>
      <color indexed="8"/>
      <name val="Verdana"/>
      <family val="2"/>
    </font>
    <font>
      <b/>
      <u val="single"/>
      <sz val="22"/>
      <color indexed="8"/>
      <name val="Verdana"/>
      <family val="2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b/>
      <sz val="9.5"/>
      <color indexed="8"/>
      <name val="Verdana"/>
      <family val="2"/>
    </font>
    <font>
      <b/>
      <i/>
      <sz val="10"/>
      <color indexed="56"/>
      <name val="Verdana"/>
      <family val="2"/>
    </font>
    <font>
      <b/>
      <u val="single"/>
      <sz val="24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name val="Verdana"/>
      <family val="2"/>
    </font>
    <font>
      <b/>
      <sz val="12"/>
      <color indexed="56"/>
      <name val="Verdana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42" fillId="3" borderId="0" applyNumberFormat="0" applyBorder="0" applyAlignment="0" applyProtection="0"/>
    <xf numFmtId="0" fontId="46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7" borderId="1" applyNumberFormat="0" applyAlignment="0" applyProtection="0"/>
    <xf numFmtId="0" fontId="47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1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9" fontId="0" fillId="0" borderId="10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14" fontId="1" fillId="0" borderId="10" xfId="0" applyNumberFormat="1" applyFont="1" applyFill="1" applyBorder="1" applyAlignment="1" applyProtection="1">
      <alignment horizontal="left"/>
      <protection hidden="1"/>
    </xf>
    <xf numFmtId="0" fontId="0" fillId="0" borderId="10" xfId="0" applyNumberFormat="1" applyFill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2" fontId="5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14" xfId="0" applyNumberFormat="1" applyFont="1" applyFill="1" applyBorder="1" applyAlignment="1" applyProtection="1">
      <alignment horizontal="right" vertical="top" wrapText="1"/>
      <protection hidden="1"/>
    </xf>
    <xf numFmtId="172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171" fontId="26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5" xfId="0" applyFill="1" applyBorder="1" applyAlignment="1" applyProtection="1">
      <alignment horizontal="right" vertical="center"/>
      <protection hidden="1"/>
    </xf>
    <xf numFmtId="0" fontId="2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9" xfId="0" applyNumberFormat="1" applyFont="1" applyFill="1" applyBorder="1" applyAlignment="1" applyProtection="1">
      <alignment horizontal="center" vertical="center"/>
      <protection hidden="1"/>
    </xf>
    <xf numFmtId="2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20" xfId="0" applyNumberFormat="1" applyFont="1" applyFill="1" applyBorder="1" applyAlignment="1" applyProtection="1">
      <alignment horizontal="center" vertical="center"/>
      <protection hidden="1"/>
    </xf>
    <xf numFmtId="1" fontId="25" fillId="0" borderId="17" xfId="0" applyNumberFormat="1" applyFont="1" applyFill="1" applyBorder="1" applyAlignment="1" applyProtection="1">
      <alignment horizontal="center" vertical="center"/>
      <protection hidden="1"/>
    </xf>
    <xf numFmtId="0" fontId="25" fillId="0" borderId="20" xfId="0" applyNumberFormat="1" applyFont="1" applyFill="1" applyBorder="1" applyAlignment="1" applyProtection="1">
      <alignment horizontal="center" vertical="center"/>
      <protection hidden="1"/>
    </xf>
    <xf numFmtId="1" fontId="27" fillId="0" borderId="21" xfId="0" applyNumberFormat="1" applyFont="1" applyFill="1" applyBorder="1" applyAlignment="1" applyProtection="1">
      <alignment horizontal="right" vertical="center"/>
      <protection hidden="1"/>
    </xf>
    <xf numFmtId="0" fontId="27" fillId="0" borderId="22" xfId="0" applyNumberFormat="1" applyFont="1" applyFill="1" applyBorder="1" applyAlignment="1" applyProtection="1">
      <alignment horizontal="center" vertical="center"/>
      <protection hidden="1"/>
    </xf>
    <xf numFmtId="2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10" xfId="0" applyNumberFormat="1" applyFont="1" applyFill="1" applyBorder="1" applyAlignment="1" applyProtection="1">
      <alignment horizontal="center" vertical="center"/>
      <protection hidden="1"/>
    </xf>
    <xf numFmtId="0" fontId="25" fillId="0" borderId="10" xfId="0" applyNumberFormat="1" applyFont="1" applyFill="1" applyBorder="1" applyAlignment="1" applyProtection="1">
      <alignment horizontal="center" vertical="center"/>
      <protection hidden="1"/>
    </xf>
    <xf numFmtId="1" fontId="27" fillId="0" borderId="14" xfId="0" applyNumberFormat="1" applyFont="1" applyFill="1" applyBorder="1" applyAlignment="1" applyProtection="1">
      <alignment horizontal="right" vertical="center"/>
      <protection hidden="1"/>
    </xf>
    <xf numFmtId="2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NumberFormat="1" applyFont="1" applyFill="1" applyBorder="1" applyAlignment="1" applyProtection="1">
      <alignment horizontal="center" vertical="center"/>
      <protection hidden="1"/>
    </xf>
    <xf numFmtId="1" fontId="29" fillId="0" borderId="14" xfId="0" applyNumberFormat="1" applyFont="1" applyFill="1" applyBorder="1" applyAlignment="1" applyProtection="1">
      <alignment horizontal="right" vertical="center"/>
      <protection hidden="1"/>
    </xf>
    <xf numFmtId="0" fontId="29" fillId="0" borderId="22" xfId="0" applyNumberFormat="1" applyFont="1" applyFill="1" applyBorder="1" applyAlignment="1" applyProtection="1">
      <alignment horizontal="center" vertical="center"/>
      <protection hidden="1"/>
    </xf>
    <xf numFmtId="1" fontId="30" fillId="0" borderId="14" xfId="0" applyNumberFormat="1" applyFont="1" applyFill="1" applyBorder="1" applyAlignment="1" applyProtection="1">
      <alignment horizontal="right" vertical="center"/>
      <protection hidden="1"/>
    </xf>
    <xf numFmtId="0" fontId="29" fillId="0" borderId="23" xfId="0" applyNumberFormat="1" applyFont="1" applyFill="1" applyBorder="1" applyAlignment="1" applyProtection="1">
      <alignment horizontal="center" vertical="center"/>
      <protection hidden="1"/>
    </xf>
    <xf numFmtId="2" fontId="28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30" fillId="0" borderId="25" xfId="0" applyNumberFormat="1" applyFont="1" applyFill="1" applyBorder="1" applyAlignment="1" applyProtection="1">
      <alignment horizontal="right" vertical="center"/>
      <protection hidden="1"/>
    </xf>
    <xf numFmtId="1" fontId="31" fillId="0" borderId="21" xfId="0" applyNumberFormat="1" applyFont="1" applyFill="1" applyBorder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/>
      <protection hidden="1"/>
    </xf>
    <xf numFmtId="0" fontId="13" fillId="10" borderId="10" xfId="0" applyFont="1" applyFill="1" applyBorder="1" applyAlignment="1" applyProtection="1">
      <alignment/>
      <protection hidden="1"/>
    </xf>
    <xf numFmtId="0" fontId="13" fillId="10" borderId="10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30" xfId="0" applyBorder="1" applyAlignment="1" applyProtection="1">
      <alignment wrapText="1"/>
      <protection hidden="1"/>
    </xf>
    <xf numFmtId="0" fontId="14" fillId="0" borderId="3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2" fontId="27" fillId="0" borderId="0" xfId="0" applyNumberFormat="1" applyFont="1" applyAlignment="1" applyProtection="1">
      <alignment/>
      <protection hidden="1"/>
    </xf>
    <xf numFmtId="0" fontId="27" fillId="0" borderId="30" xfId="0" applyFont="1" applyBorder="1" applyAlignment="1" applyProtection="1">
      <alignment/>
      <protection hidden="1"/>
    </xf>
    <xf numFmtId="0" fontId="27" fillId="0" borderId="13" xfId="0" applyFont="1" applyBorder="1" applyAlignment="1" applyProtection="1">
      <alignment/>
      <protection hidden="1"/>
    </xf>
    <xf numFmtId="0" fontId="36" fillId="0" borderId="30" xfId="0" applyFont="1" applyBorder="1" applyAlignment="1" applyProtection="1">
      <alignment/>
      <protection hidden="1"/>
    </xf>
    <xf numFmtId="0" fontId="27" fillId="0" borderId="31" xfId="0" applyFont="1" applyBorder="1" applyAlignment="1" applyProtection="1">
      <alignment/>
      <protection hidden="1"/>
    </xf>
    <xf numFmtId="0" fontId="27" fillId="0" borderId="32" xfId="0" applyFont="1" applyBorder="1" applyAlignment="1" applyProtection="1">
      <alignment/>
      <protection hidden="1"/>
    </xf>
    <xf numFmtId="0" fontId="27" fillId="0" borderId="33" xfId="0" applyFont="1" applyBorder="1" applyAlignment="1" applyProtection="1">
      <alignment/>
      <protection hidden="1"/>
    </xf>
    <xf numFmtId="1" fontId="27" fillId="0" borderId="34" xfId="0" applyNumberFormat="1" applyFont="1" applyBorder="1" applyAlignment="1" applyProtection="1">
      <alignment/>
      <protection hidden="1"/>
    </xf>
    <xf numFmtId="1" fontId="27" fillId="0" borderId="35" xfId="0" applyNumberFormat="1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 wrapText="1"/>
      <protection hidden="1"/>
    </xf>
    <xf numFmtId="0" fontId="13" fillId="10" borderId="1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ill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10" xfId="0" applyFont="1" applyFill="1" applyBorder="1" applyAlignment="1" applyProtection="1">
      <alignment wrapText="1"/>
      <protection hidden="1"/>
    </xf>
    <xf numFmtId="0" fontId="11" fillId="0" borderId="10" xfId="0" applyFont="1" applyFill="1" applyBorder="1" applyAlignment="1" applyProtection="1">
      <alignment horizontal="right"/>
      <protection hidden="1"/>
    </xf>
    <xf numFmtId="2" fontId="10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7" fillId="0" borderId="10" xfId="0" applyFont="1" applyFill="1" applyBorder="1" applyAlignment="1" applyProtection="1">
      <alignment wrapText="1"/>
      <protection hidden="1"/>
    </xf>
    <xf numFmtId="2" fontId="15" fillId="0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10" xfId="0" applyFont="1" applyFill="1" applyBorder="1" applyAlignment="1" applyProtection="1">
      <alignment/>
      <protection hidden="1"/>
    </xf>
    <xf numFmtId="10" fontId="12" fillId="0" borderId="10" xfId="0" applyNumberFormat="1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/>
      <protection hidden="1"/>
    </xf>
    <xf numFmtId="10" fontId="9" fillId="0" borderId="10" xfId="0" applyNumberFormat="1" applyFont="1" applyFill="1" applyBorder="1" applyAlignment="1" applyProtection="1">
      <alignment horizontal="right" vertical="center"/>
      <protection hidden="1"/>
    </xf>
    <xf numFmtId="2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 applyProtection="1">
      <alignment wrapText="1"/>
      <protection hidden="1"/>
    </xf>
    <xf numFmtId="0" fontId="9" fillId="0" borderId="10" xfId="0" applyFont="1" applyFill="1" applyBorder="1" applyAlignment="1" applyProtection="1">
      <alignment horizontal="righ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4" fontId="0" fillId="0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14" fontId="1" fillId="0" borderId="10" xfId="0" applyNumberFormat="1" applyFont="1" applyFill="1" applyBorder="1" applyAlignment="1" applyProtection="1">
      <alignment/>
      <protection hidden="1"/>
    </xf>
    <xf numFmtId="4" fontId="1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" fontId="1" fillId="0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lef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14" fontId="0" fillId="0" borderId="10" xfId="0" applyNumberFormat="1" applyFill="1" applyBorder="1" applyAlignment="1" applyProtection="1">
      <alignment horizontal="left"/>
      <protection hidden="1"/>
    </xf>
    <xf numFmtId="43" fontId="0" fillId="0" borderId="10" xfId="42" applyFont="1" applyFill="1" applyBorder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2" fontId="34" fillId="0" borderId="0" xfId="0" applyNumberFormat="1" applyFont="1" applyFill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14" fontId="0" fillId="0" borderId="10" xfId="0" applyNumberFormat="1" applyFill="1" applyBorder="1" applyAlignment="1" applyProtection="1">
      <alignment horizontal="center" vertical="center"/>
      <protection hidden="1"/>
    </xf>
    <xf numFmtId="4" fontId="0" fillId="0" borderId="10" xfId="0" applyNumberFormat="1" applyFill="1" applyBorder="1" applyAlignment="1" applyProtection="1">
      <alignment horizontal="center" vertical="center"/>
      <protection hidden="1"/>
    </xf>
    <xf numFmtId="4" fontId="22" fillId="0" borderId="10" xfId="0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2" fillId="0" borderId="10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 locked="0"/>
    </xf>
    <xf numFmtId="4" fontId="0" fillId="2" borderId="10" xfId="0" applyNumberFormat="1" applyFill="1" applyBorder="1" applyAlignment="1" applyProtection="1">
      <alignment/>
      <protection hidden="1" locked="0"/>
    </xf>
    <xf numFmtId="0" fontId="1" fillId="2" borderId="10" xfId="0" applyNumberFormat="1" applyFont="1" applyFill="1" applyBorder="1" applyAlignment="1" applyProtection="1">
      <alignment horizontal="center" vertical="center"/>
      <protection hidden="1" locked="0"/>
    </xf>
    <xf numFmtId="10" fontId="2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9" fontId="20" fillId="11" borderId="10" xfId="0" applyNumberFormat="1" applyFont="1" applyFill="1" applyBorder="1" applyAlignment="1" applyProtection="1">
      <alignment horizontal="center" vertical="center" wrapText="1"/>
      <protection hidden="1"/>
    </xf>
    <xf numFmtId="10" fontId="0" fillId="0" borderId="36" xfId="0" applyNumberFormat="1" applyFill="1" applyBorder="1" applyAlignment="1" applyProtection="1">
      <alignment/>
      <protection hidden="1"/>
    </xf>
    <xf numFmtId="0" fontId="22" fillId="2" borderId="10" xfId="0" applyNumberFormat="1" applyFont="1" applyFill="1" applyBorder="1" applyAlignment="1" applyProtection="1">
      <alignment horizontal="right" vertical="top"/>
      <protection hidden="1" locked="0"/>
    </xf>
    <xf numFmtId="0" fontId="22" fillId="2" borderId="12" xfId="0" applyNumberFormat="1" applyFont="1" applyFill="1" applyBorder="1" applyAlignment="1" applyProtection="1">
      <alignment horizontal="right" vertical="top" wrapText="1"/>
      <protection hidden="1" locked="0"/>
    </xf>
    <xf numFmtId="0" fontId="22" fillId="2" borderId="25" xfId="0" applyNumberFormat="1" applyFont="1" applyFill="1" applyBorder="1" applyAlignment="1" applyProtection="1">
      <alignment horizontal="right" vertical="top" wrapText="1"/>
      <protection hidden="1" locked="0"/>
    </xf>
    <xf numFmtId="1" fontId="27" fillId="2" borderId="34" xfId="0" applyNumberFormat="1" applyFont="1" applyFill="1" applyBorder="1" applyAlignment="1" applyProtection="1">
      <alignment/>
      <protection hidden="1" locked="0"/>
    </xf>
    <xf numFmtId="9" fontId="2" fillId="2" borderId="10" xfId="0" applyNumberFormat="1" applyFont="1" applyFill="1" applyBorder="1" applyAlignment="1" applyProtection="1">
      <alignment/>
      <protection hidden="1" locked="0"/>
    </xf>
    <xf numFmtId="0" fontId="2" fillId="0" borderId="30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4" fillId="10" borderId="1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2" fillId="7" borderId="12" xfId="0" applyFont="1" applyFill="1" applyBorder="1" applyAlignment="1" applyProtection="1">
      <alignment wrapText="1"/>
      <protection hidden="1"/>
    </xf>
    <xf numFmtId="0" fontId="2" fillId="7" borderId="13" xfId="0" applyFont="1" applyFill="1" applyBorder="1" applyAlignment="1" applyProtection="1">
      <alignment/>
      <protection hidden="1"/>
    </xf>
    <xf numFmtId="0" fontId="2" fillId="7" borderId="26" xfId="0" applyFont="1" applyFill="1" applyBorder="1" applyAlignment="1" applyProtection="1">
      <alignment/>
      <protection hidden="1"/>
    </xf>
    <xf numFmtId="2" fontId="2" fillId="7" borderId="10" xfId="0" applyNumberFormat="1" applyFont="1" applyFill="1" applyBorder="1" applyAlignment="1" applyProtection="1">
      <alignment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0" fontId="53" fillId="10" borderId="10" xfId="0" applyFont="1" applyFill="1" applyBorder="1" applyAlignment="1" applyProtection="1">
      <alignment horizontal="center" vertical="center"/>
      <protection hidden="1"/>
    </xf>
    <xf numFmtId="0" fontId="56" fillId="10" borderId="37" xfId="0" applyFont="1" applyFill="1" applyBorder="1" applyAlignment="1" applyProtection="1">
      <alignment horizontal="center"/>
      <protection hidden="1"/>
    </xf>
    <xf numFmtId="0" fontId="56" fillId="10" borderId="38" xfId="0" applyFont="1" applyFill="1" applyBorder="1" applyAlignment="1" applyProtection="1">
      <alignment horizontal="center"/>
      <protection hidden="1"/>
    </xf>
    <xf numFmtId="0" fontId="56" fillId="10" borderId="39" xfId="0" applyFont="1" applyFill="1" applyBorder="1" applyAlignment="1" applyProtection="1">
      <alignment horizontal="center"/>
      <protection hidden="1"/>
    </xf>
    <xf numFmtId="0" fontId="13" fillId="2" borderId="10" xfId="0" applyFont="1" applyFill="1" applyBorder="1" applyAlignment="1" applyProtection="1">
      <alignment horizontal="left" vertical="center"/>
      <protection hidden="1" locked="0"/>
    </xf>
    <xf numFmtId="0" fontId="9" fillId="0" borderId="10" xfId="0" applyFont="1" applyFill="1" applyBorder="1" applyAlignment="1" applyProtection="1">
      <alignment horizontal="center"/>
      <protection hidden="1"/>
    </xf>
    <xf numFmtId="0" fontId="13" fillId="10" borderId="40" xfId="0" applyFont="1" applyFill="1" applyBorder="1" applyAlignment="1" applyProtection="1">
      <alignment horizontal="center"/>
      <protection hidden="1"/>
    </xf>
    <xf numFmtId="2" fontId="33" fillId="0" borderId="19" xfId="0" applyNumberFormat="1" applyFont="1" applyFill="1" applyBorder="1" applyAlignment="1" applyProtection="1">
      <alignment horizontal="center"/>
      <protection hidden="1"/>
    </xf>
    <xf numFmtId="2" fontId="33" fillId="0" borderId="21" xfId="0" applyNumberFormat="1" applyFont="1" applyFill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13" fillId="10" borderId="43" xfId="0" applyFont="1" applyFill="1" applyBorder="1" applyAlignment="1" applyProtection="1">
      <alignment horizontal="center"/>
      <protection hidden="1"/>
    </xf>
    <xf numFmtId="0" fontId="13" fillId="10" borderId="36" xfId="0" applyFont="1" applyFill="1" applyBorder="1" applyAlignment="1" applyProtection="1">
      <alignment horizontal="center"/>
      <protection hidden="1"/>
    </xf>
    <xf numFmtId="0" fontId="13" fillId="10" borderId="44" xfId="0" applyFont="1" applyFill="1" applyBorder="1" applyAlignment="1" applyProtection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13" fillId="10" borderId="10" xfId="0" applyFont="1" applyFill="1" applyBorder="1" applyAlignment="1" applyProtection="1">
      <alignment horizontal="center"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3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26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27" fillId="22" borderId="27" xfId="0" applyFont="1" applyFill="1" applyBorder="1" applyAlignment="1" applyProtection="1">
      <alignment horizontal="center"/>
      <protection hidden="1"/>
    </xf>
    <xf numFmtId="0" fontId="27" fillId="22" borderId="28" xfId="0" applyFont="1" applyFill="1" applyBorder="1" applyAlignment="1" applyProtection="1">
      <alignment horizontal="center"/>
      <protection hidden="1"/>
    </xf>
    <xf numFmtId="0" fontId="27" fillId="22" borderId="46" xfId="0" applyFont="1" applyFill="1" applyBorder="1" applyAlignment="1" applyProtection="1">
      <alignment horizontal="center"/>
      <protection hidden="1"/>
    </xf>
    <xf numFmtId="0" fontId="27" fillId="0" borderId="37" xfId="0" applyNumberFormat="1" applyFont="1" applyFill="1" applyBorder="1" applyAlignment="1" applyProtection="1">
      <alignment horizontal="center" vertical="center"/>
      <protection hidden="1"/>
    </xf>
    <xf numFmtId="0" fontId="27" fillId="0" borderId="38" xfId="0" applyNumberFormat="1" applyFont="1" applyFill="1" applyBorder="1" applyAlignment="1" applyProtection="1">
      <alignment horizontal="center" vertical="center"/>
      <protection hidden="1"/>
    </xf>
    <xf numFmtId="0" fontId="27" fillId="0" borderId="39" xfId="0" applyNumberFormat="1" applyFont="1" applyFill="1" applyBorder="1" applyAlignment="1" applyProtection="1">
      <alignment horizontal="center" vertical="center"/>
      <protection hidden="1"/>
    </xf>
    <xf numFmtId="171" fontId="21" fillId="0" borderId="30" xfId="0" applyNumberFormat="1" applyFont="1" applyFill="1" applyBorder="1" applyAlignment="1" applyProtection="1">
      <alignment horizontal="right" vertical="top"/>
      <protection hidden="1"/>
    </xf>
    <xf numFmtId="171" fontId="21" fillId="0" borderId="13" xfId="0" applyNumberFormat="1" applyFont="1" applyFill="1" applyBorder="1" applyAlignment="1" applyProtection="1">
      <alignment horizontal="right" vertical="top"/>
      <protection hidden="1"/>
    </xf>
    <xf numFmtId="171" fontId="21" fillId="0" borderId="26" xfId="0" applyNumberFormat="1" applyFont="1" applyFill="1" applyBorder="1" applyAlignment="1" applyProtection="1">
      <alignment horizontal="right" vertical="top"/>
      <protection hidden="1"/>
    </xf>
    <xf numFmtId="171" fontId="21" fillId="0" borderId="31" xfId="0" applyNumberFormat="1" applyFont="1" applyFill="1" applyBorder="1" applyAlignment="1" applyProtection="1">
      <alignment horizontal="right" vertical="top"/>
      <protection hidden="1"/>
    </xf>
    <xf numFmtId="171" fontId="21" fillId="0" borderId="32" xfId="0" applyNumberFormat="1" applyFont="1" applyFill="1" applyBorder="1" applyAlignment="1" applyProtection="1">
      <alignment horizontal="right" vertical="top"/>
      <protection hidden="1"/>
    </xf>
    <xf numFmtId="171" fontId="21" fillId="0" borderId="47" xfId="0" applyNumberFormat="1" applyFont="1" applyFill="1" applyBorder="1" applyAlignment="1" applyProtection="1">
      <alignment horizontal="right" vertical="top"/>
      <protection hidden="1"/>
    </xf>
    <xf numFmtId="0" fontId="27" fillId="0" borderId="48" xfId="0" applyNumberFormat="1" applyFont="1" applyFill="1" applyBorder="1" applyAlignment="1" applyProtection="1">
      <alignment horizontal="center" vertical="center"/>
      <protection hidden="1"/>
    </xf>
    <xf numFmtId="0" fontId="27" fillId="0" borderId="49" xfId="0" applyNumberFormat="1" applyFont="1" applyFill="1" applyBorder="1" applyAlignment="1" applyProtection="1">
      <alignment horizontal="center" vertical="center"/>
      <protection hidden="1"/>
    </xf>
    <xf numFmtId="0" fontId="27" fillId="0" borderId="50" xfId="0" applyNumberFormat="1" applyFont="1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right" wrapText="1"/>
      <protection hidden="1"/>
    </xf>
    <xf numFmtId="0" fontId="57" fillId="10" borderId="37" xfId="0" applyFont="1" applyFill="1" applyBorder="1" applyAlignment="1" applyProtection="1">
      <alignment horizontal="center"/>
      <protection hidden="1"/>
    </xf>
    <xf numFmtId="0" fontId="57" fillId="10" borderId="38" xfId="0" applyFont="1" applyFill="1" applyBorder="1" applyAlignment="1" applyProtection="1">
      <alignment horizontal="center"/>
      <protection hidden="1"/>
    </xf>
    <xf numFmtId="0" fontId="57" fillId="10" borderId="39" xfId="0" applyFont="1" applyFill="1" applyBorder="1" applyAlignment="1" applyProtection="1">
      <alignment horizontal="center"/>
      <protection hidden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20" fillId="11" borderId="40" xfId="0" applyFont="1" applyFill="1" applyBorder="1" applyAlignment="1" applyProtection="1">
      <alignment horizontal="center" vertical="center" wrapText="1"/>
      <protection hidden="1"/>
    </xf>
    <xf numFmtId="0" fontId="51" fillId="0" borderId="26" xfId="0" applyFont="1" applyFill="1" applyBorder="1" applyAlignment="1" applyProtection="1">
      <alignment horizontal="right" wrapText="1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21</xdr:row>
      <xdr:rowOff>66675</xdr:rowOff>
    </xdr:from>
    <xdr:to>
      <xdr:col>7</xdr:col>
      <xdr:colOff>485775</xdr:colOff>
      <xdr:row>56</xdr:row>
      <xdr:rowOff>114300</xdr:rowOff>
    </xdr:to>
    <xdr:sp>
      <xdr:nvSpPr>
        <xdr:cNvPr id="1" name="Straight Arrow Connector 2"/>
        <xdr:cNvSpPr>
          <a:spLocks/>
        </xdr:cNvSpPr>
      </xdr:nvSpPr>
      <xdr:spPr>
        <a:xfrm rot="16200000" flipH="1">
          <a:off x="6943725" y="2362200"/>
          <a:ext cx="552450" cy="8191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6.00390625" style="1" bestFit="1" customWidth="1"/>
    <col min="2" max="3" width="9.140625" style="1" customWidth="1"/>
    <col min="7" max="7" width="20.140625" style="0" bestFit="1" customWidth="1"/>
    <col min="8" max="8" width="12.421875" style="0" bestFit="1" customWidth="1"/>
    <col min="9" max="9" width="13.7109375" style="0" bestFit="1" customWidth="1"/>
  </cols>
  <sheetData>
    <row r="1" spans="1:3" s="2" customFormat="1" ht="15">
      <c r="A1" s="6" t="s">
        <v>33</v>
      </c>
      <c r="B1" s="6" t="s">
        <v>32</v>
      </c>
      <c r="C1" s="6" t="s">
        <v>31</v>
      </c>
    </row>
    <row r="2" spans="1:3" ht="15">
      <c r="A2" s="4" t="s">
        <v>30</v>
      </c>
      <c r="B2" s="3">
        <v>0.188</v>
      </c>
      <c r="C2" s="5">
        <v>0</v>
      </c>
    </row>
    <row r="3" spans="1:3" ht="15">
      <c r="A3" s="4" t="s">
        <v>29</v>
      </c>
      <c r="B3" s="3">
        <v>0.202</v>
      </c>
      <c r="C3" s="3">
        <v>0.008</v>
      </c>
    </row>
    <row r="4" spans="1:3" ht="15">
      <c r="A4" s="4" t="s">
        <v>28</v>
      </c>
      <c r="B4" s="3">
        <v>0.211</v>
      </c>
      <c r="C4" s="3">
        <v>0.013</v>
      </c>
    </row>
    <row r="5" spans="1:3" ht="15">
      <c r="A5" s="4" t="s">
        <v>27</v>
      </c>
      <c r="B5" s="3">
        <v>0.26</v>
      </c>
      <c r="C5" s="3">
        <v>0.042</v>
      </c>
    </row>
    <row r="6" spans="1:3" ht="15">
      <c r="A6" s="4" t="s">
        <v>26</v>
      </c>
      <c r="B6" s="3">
        <v>0.286</v>
      </c>
      <c r="C6" s="3">
        <v>0.058</v>
      </c>
    </row>
    <row r="7" spans="1:3" ht="15">
      <c r="A7" s="4" t="s">
        <v>25</v>
      </c>
      <c r="B7" s="3">
        <v>0.294</v>
      </c>
      <c r="C7" s="3">
        <v>0.063</v>
      </c>
    </row>
    <row r="8" spans="1:3" ht="15">
      <c r="A8" s="4" t="s">
        <v>24</v>
      </c>
      <c r="B8" s="3">
        <v>0.344</v>
      </c>
      <c r="C8" s="3">
        <v>0.092</v>
      </c>
    </row>
    <row r="9" spans="1:3" ht="15">
      <c r="A9" s="4" t="s">
        <v>23</v>
      </c>
      <c r="B9" s="3">
        <v>0.406</v>
      </c>
      <c r="C9" s="3">
        <v>0.129</v>
      </c>
    </row>
    <row r="10" spans="1:3" ht="15">
      <c r="A10" s="4" t="s">
        <v>22</v>
      </c>
      <c r="B10" s="3">
        <v>0.468</v>
      </c>
      <c r="C10" s="3">
        <v>0.166</v>
      </c>
    </row>
    <row r="11" spans="1:3" ht="15">
      <c r="A11" s="4" t="s">
        <v>21</v>
      </c>
      <c r="B11" s="3">
        <v>0.468</v>
      </c>
      <c r="C11" s="3">
        <v>0.169</v>
      </c>
    </row>
    <row r="12" spans="1:3" ht="15">
      <c r="A12" s="4" t="s">
        <v>20</v>
      </c>
      <c r="B12" s="3">
        <v>0.468</v>
      </c>
      <c r="C12" s="3">
        <v>0.185</v>
      </c>
    </row>
    <row r="13" spans="1:3" ht="15">
      <c r="A13" s="4" t="s">
        <v>19</v>
      </c>
      <c r="B13" s="3">
        <v>0.468</v>
      </c>
      <c r="C13" s="3">
        <v>0.253</v>
      </c>
    </row>
    <row r="14" spans="1:3" ht="15">
      <c r="A14" s="4" t="s">
        <v>18</v>
      </c>
      <c r="B14" s="3">
        <v>0.468</v>
      </c>
      <c r="C14" s="3">
        <v>0.309</v>
      </c>
    </row>
    <row r="15" spans="1:3" ht="15">
      <c r="A15" s="4" t="s">
        <v>121</v>
      </c>
      <c r="B15" s="3">
        <v>0.468</v>
      </c>
      <c r="C15" s="3">
        <v>0.348</v>
      </c>
    </row>
    <row r="16" spans="1:3" ht="15">
      <c r="A16" s="4" t="s">
        <v>122</v>
      </c>
      <c r="B16" s="3">
        <v>0.468</v>
      </c>
      <c r="C16" s="3">
        <v>0.351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2">
      <selection activeCell="B24" sqref="B24"/>
    </sheetView>
  </sheetViews>
  <sheetFormatPr defaultColWidth="9.140625" defaultRowHeight="15"/>
  <cols>
    <col min="1" max="1" width="24.00390625" style="84" bestFit="1" customWidth="1"/>
    <col min="2" max="2" width="10.7109375" style="84" bestFit="1" customWidth="1"/>
    <col min="3" max="3" width="23.8515625" style="84" bestFit="1" customWidth="1"/>
    <col min="4" max="4" width="21.57421875" style="84" bestFit="1" customWidth="1"/>
    <col min="5" max="5" width="15.421875" style="85" customWidth="1"/>
    <col min="6" max="6" width="9.57421875" style="84" bestFit="1" customWidth="1"/>
    <col min="7" max="7" width="8.57421875" style="84" hidden="1" customWidth="1"/>
    <col min="8" max="8" width="8.57421875" style="84" bestFit="1" customWidth="1"/>
    <col min="9" max="9" width="10.8515625" style="84" customWidth="1"/>
    <col min="10" max="10" width="11.57421875" style="84" customWidth="1"/>
    <col min="11" max="11" width="8.57421875" style="84" bestFit="1" customWidth="1"/>
    <col min="12" max="12" width="9.140625" style="84" bestFit="1" customWidth="1"/>
    <col min="13" max="13" width="10.00390625" style="84" bestFit="1" customWidth="1"/>
    <col min="14" max="15" width="9.57421875" style="84" bestFit="1" customWidth="1"/>
    <col min="16" max="16" width="10.00390625" style="84" bestFit="1" customWidth="1"/>
    <col min="17" max="18" width="9.57421875" style="84" bestFit="1" customWidth="1"/>
    <col min="19" max="19" width="10.00390625" style="84" bestFit="1" customWidth="1"/>
    <col min="20" max="21" width="9.57421875" style="84" bestFit="1" customWidth="1"/>
    <col min="22" max="22" width="10.00390625" style="84" bestFit="1" customWidth="1"/>
    <col min="23" max="24" width="9.57421875" style="84" bestFit="1" customWidth="1"/>
    <col min="25" max="16384" width="9.140625" style="84" customWidth="1"/>
  </cols>
  <sheetData>
    <row r="1" spans="1:6" ht="15.75">
      <c r="A1" s="161" t="s">
        <v>158</v>
      </c>
      <c r="B1" s="161"/>
      <c r="C1" s="161"/>
      <c r="D1" s="161"/>
      <c r="E1" s="161"/>
      <c r="F1" s="161"/>
    </row>
    <row r="2" spans="1:7" ht="15">
      <c r="A2" s="87" t="s">
        <v>0</v>
      </c>
      <c r="B2" s="166" t="s">
        <v>165</v>
      </c>
      <c r="C2" s="166"/>
      <c r="D2" s="166"/>
      <c r="E2" s="166"/>
      <c r="F2" s="166"/>
      <c r="G2" s="166"/>
    </row>
    <row r="3" spans="1:7" ht="15">
      <c r="A3" s="87" t="s">
        <v>51</v>
      </c>
      <c r="B3" s="166" t="s">
        <v>166</v>
      </c>
      <c r="C3" s="166"/>
      <c r="D3" s="166"/>
      <c r="E3" s="166"/>
      <c r="F3" s="166"/>
      <c r="G3" s="166"/>
    </row>
    <row r="4" spans="1:7" ht="15">
      <c r="A4" s="87" t="s">
        <v>50</v>
      </c>
      <c r="B4" s="166" t="s">
        <v>167</v>
      </c>
      <c r="C4" s="166"/>
      <c r="D4" s="166"/>
      <c r="E4" s="166"/>
      <c r="F4" s="166"/>
      <c r="G4" s="166"/>
    </row>
    <row r="5" spans="1:7" ht="15">
      <c r="A5" s="88"/>
      <c r="B5" s="89"/>
      <c r="C5" s="89"/>
      <c r="D5" s="89"/>
      <c r="E5" s="89"/>
      <c r="F5" s="89"/>
      <c r="G5" s="89"/>
    </row>
    <row r="6" spans="1:7" ht="15" hidden="1">
      <c r="A6" s="167" t="s">
        <v>49</v>
      </c>
      <c r="B6" s="167"/>
      <c r="C6" s="167"/>
      <c r="D6" s="89"/>
      <c r="E6" s="90"/>
      <c r="F6" s="89"/>
      <c r="G6" s="89"/>
    </row>
    <row r="7" spans="1:6" s="94" customFormat="1" ht="25.5" hidden="1">
      <c r="A7" s="91" t="s">
        <v>48</v>
      </c>
      <c r="B7" s="92"/>
      <c r="C7" s="93">
        <f>+C18</f>
        <v>0</v>
      </c>
      <c r="E7" s="95"/>
      <c r="F7" s="95"/>
    </row>
    <row r="8" spans="1:6" s="94" customFormat="1" ht="12.75" hidden="1">
      <c r="A8" s="96" t="s">
        <v>75</v>
      </c>
      <c r="B8" s="132"/>
      <c r="C8" s="97">
        <f>+B8</f>
        <v>0</v>
      </c>
      <c r="E8" s="95"/>
      <c r="F8" s="95"/>
    </row>
    <row r="9" spans="1:6" s="94" customFormat="1" ht="12.75" hidden="1">
      <c r="A9" s="98" t="s">
        <v>47</v>
      </c>
      <c r="B9" s="99">
        <v>0.782</v>
      </c>
      <c r="C9" s="93">
        <f>78.2%*(C7+C8)</f>
        <v>0</v>
      </c>
      <c r="E9" s="95"/>
      <c r="F9" s="95"/>
    </row>
    <row r="10" spans="1:6" s="94" customFormat="1" ht="12.75" hidden="1">
      <c r="A10" s="100" t="s">
        <v>46</v>
      </c>
      <c r="B10" s="101"/>
      <c r="C10" s="102">
        <f>SUM(C7:C9)</f>
        <v>0</v>
      </c>
      <c r="E10" s="89"/>
      <c r="F10" s="89"/>
    </row>
    <row r="11" spans="1:6" s="94" customFormat="1" ht="12.75" hidden="1">
      <c r="A11" s="100" t="s">
        <v>45</v>
      </c>
      <c r="B11" s="101">
        <v>0.3</v>
      </c>
      <c r="C11" s="102">
        <f>+B11*C10</f>
        <v>0</v>
      </c>
      <c r="E11" s="89"/>
      <c r="F11" s="89"/>
    </row>
    <row r="12" spans="1:6" s="94" customFormat="1" ht="12.75" hidden="1">
      <c r="A12" s="100" t="s">
        <v>74</v>
      </c>
      <c r="B12" s="101"/>
      <c r="C12" s="102">
        <f>SUM(C10:C11)</f>
        <v>0</v>
      </c>
      <c r="E12" s="89"/>
      <c r="F12" s="89"/>
    </row>
    <row r="13" spans="1:6" s="94" customFormat="1" ht="12.75" hidden="1">
      <c r="A13" s="100" t="s">
        <v>73</v>
      </c>
      <c r="B13" s="102">
        <v>0</v>
      </c>
      <c r="C13" s="102">
        <f>C12*3%*B13</f>
        <v>0</v>
      </c>
      <c r="E13" s="89"/>
      <c r="F13" s="89"/>
    </row>
    <row r="14" spans="1:6" s="94" customFormat="1" ht="25.5" hidden="1">
      <c r="A14" s="103" t="s">
        <v>44</v>
      </c>
      <c r="B14" s="104"/>
      <c r="C14" s="102">
        <f>SUM(C12:C13)</f>
        <v>0</v>
      </c>
      <c r="E14" s="89"/>
      <c r="F14" s="89"/>
    </row>
    <row r="16" spans="1:6" s="106" customFormat="1" ht="15">
      <c r="A16" s="105" t="s">
        <v>43</v>
      </c>
      <c r="B16" s="105" t="s">
        <v>42</v>
      </c>
      <c r="C16" s="105" t="s">
        <v>41</v>
      </c>
      <c r="D16" s="105" t="s">
        <v>76</v>
      </c>
      <c r="E16" s="105" t="s">
        <v>40</v>
      </c>
      <c r="F16" s="105" t="s">
        <v>127</v>
      </c>
    </row>
    <row r="17" spans="1:6" s="106" customFormat="1" ht="15">
      <c r="A17" s="105"/>
      <c r="B17" s="105"/>
      <c r="C17" s="105"/>
      <c r="D17" s="105"/>
      <c r="E17" s="105"/>
      <c r="F17" s="105"/>
    </row>
    <row r="18" spans="1:6" ht="15">
      <c r="A18" s="129">
        <v>39083</v>
      </c>
      <c r="B18" s="129">
        <v>39447</v>
      </c>
      <c r="C18" s="137"/>
      <c r="D18" s="108">
        <f>+C18*50%</f>
        <v>0</v>
      </c>
      <c r="E18" s="108">
        <f>+C14</f>
        <v>0</v>
      </c>
      <c r="F18" s="138" t="s">
        <v>9</v>
      </c>
    </row>
    <row r="19" spans="1:7" ht="15">
      <c r="A19" s="129">
        <v>39448</v>
      </c>
      <c r="B19" s="129">
        <v>39813</v>
      </c>
      <c r="C19" s="137"/>
      <c r="D19" s="108">
        <f>+C19*50%</f>
        <v>0</v>
      </c>
      <c r="E19" s="108" t="e">
        <f>+IF(G19&gt;=1.045,E18*1.0609,E18*1.03)</f>
        <v>#DIV/0!</v>
      </c>
      <c r="F19" s="138" t="s">
        <v>9</v>
      </c>
      <c r="G19" s="84" t="e">
        <f>+C19/C18</f>
        <v>#DIV/0!</v>
      </c>
    </row>
    <row r="20" spans="1:7" ht="15">
      <c r="A20" s="129">
        <v>39814</v>
      </c>
      <c r="B20" s="129">
        <v>40178</v>
      </c>
      <c r="C20" s="137"/>
      <c r="D20" s="108">
        <f>+C20*50%</f>
        <v>0</v>
      </c>
      <c r="E20" s="108" t="e">
        <f>+IF(G20&gt;=1.045,E19*1.0609,E19*1.03)</f>
        <v>#DIV/0!</v>
      </c>
      <c r="F20" s="138" t="s">
        <v>9</v>
      </c>
      <c r="G20" s="84" t="e">
        <f>+C20/C19</f>
        <v>#DIV/0!</v>
      </c>
    </row>
    <row r="21" spans="1:7" ht="15">
      <c r="A21" s="129">
        <v>40179</v>
      </c>
      <c r="B21" s="129">
        <v>2958465</v>
      </c>
      <c r="C21" s="137"/>
      <c r="D21" s="108">
        <f>+C20*50%</f>
        <v>0</v>
      </c>
      <c r="E21" s="108" t="e">
        <f>+IF(G21&gt;=1.045,E20*1.0609,E20*1.03)</f>
        <v>#DIV/0!</v>
      </c>
      <c r="F21" s="138" t="s">
        <v>9</v>
      </c>
      <c r="G21" s="84" t="e">
        <f>+C21/C20</f>
        <v>#DIV/0!</v>
      </c>
    </row>
    <row r="22" spans="1:6" ht="15">
      <c r="A22" s="124"/>
      <c r="B22" s="124"/>
      <c r="C22" s="125"/>
      <c r="D22" s="125"/>
      <c r="E22" s="125"/>
      <c r="F22" s="133"/>
    </row>
    <row r="23" spans="1:6" ht="15">
      <c r="A23" s="107" t="s">
        <v>124</v>
      </c>
      <c r="B23" s="129" t="s">
        <v>123</v>
      </c>
      <c r="C23" s="130" t="s">
        <v>156</v>
      </c>
      <c r="D23" s="125"/>
      <c r="E23" s="125"/>
      <c r="F23" s="133"/>
    </row>
    <row r="24" spans="1:6" ht="15.75">
      <c r="A24" s="111" t="s">
        <v>157</v>
      </c>
      <c r="B24" s="139">
        <v>0.3</v>
      </c>
      <c r="C24" s="139">
        <v>0.3</v>
      </c>
      <c r="D24" s="125"/>
      <c r="E24" s="125"/>
      <c r="F24" s="133"/>
    </row>
    <row r="25" spans="1:5" ht="15">
      <c r="A25" s="109"/>
      <c r="B25" s="109"/>
      <c r="C25" s="110"/>
      <c r="D25" s="110"/>
      <c r="E25" s="110"/>
    </row>
    <row r="26" spans="1:6" s="113" customFormat="1" ht="15" customHeight="1" hidden="1">
      <c r="A26" s="10" t="s">
        <v>39</v>
      </c>
      <c r="B26" s="10" t="s">
        <v>38</v>
      </c>
      <c r="C26" s="111" t="s">
        <v>37</v>
      </c>
      <c r="D26" s="112" t="s">
        <v>36</v>
      </c>
      <c r="E26" s="112" t="s">
        <v>70</v>
      </c>
      <c r="F26" s="112" t="s">
        <v>68</v>
      </c>
    </row>
    <row r="27" spans="1:6" s="113" customFormat="1" ht="15" customHeight="1" hidden="1">
      <c r="A27" s="10"/>
      <c r="B27" s="10"/>
      <c r="C27" s="111"/>
      <c r="D27" s="114" t="s">
        <v>35</v>
      </c>
      <c r="E27" s="112"/>
      <c r="F27" s="112"/>
    </row>
    <row r="28" spans="1:6" ht="15" customHeight="1" hidden="1">
      <c r="A28" s="11">
        <v>1</v>
      </c>
      <c r="B28" s="115">
        <v>4300</v>
      </c>
      <c r="C28" s="116">
        <v>25000</v>
      </c>
      <c r="D28" s="108">
        <v>2100</v>
      </c>
      <c r="E28" s="108">
        <v>575</v>
      </c>
      <c r="F28" s="108">
        <v>1850</v>
      </c>
    </row>
    <row r="29" spans="1:6" ht="15" customHeight="1" hidden="1">
      <c r="A29" s="11">
        <v>2</v>
      </c>
      <c r="B29" s="115">
        <v>4500</v>
      </c>
      <c r="C29" s="116">
        <v>30000</v>
      </c>
      <c r="D29" s="108">
        <v>2500</v>
      </c>
      <c r="E29" s="108">
        <v>575</v>
      </c>
      <c r="F29" s="108">
        <v>1850</v>
      </c>
    </row>
    <row r="30" spans="1:6" ht="15" customHeight="1" hidden="1">
      <c r="A30" s="11">
        <v>3</v>
      </c>
      <c r="B30" s="115">
        <v>4700</v>
      </c>
      <c r="C30" s="116">
        <v>35000</v>
      </c>
      <c r="D30" s="108">
        <v>2900</v>
      </c>
      <c r="E30" s="108">
        <v>575</v>
      </c>
      <c r="F30" s="108">
        <v>1850</v>
      </c>
    </row>
    <row r="31" spans="1:6" ht="15" customHeight="1" hidden="1">
      <c r="A31" s="11">
        <v>4</v>
      </c>
      <c r="B31" s="115">
        <v>5100</v>
      </c>
      <c r="C31" s="116">
        <v>45000</v>
      </c>
      <c r="D31" s="108">
        <v>3750</v>
      </c>
      <c r="E31" s="108">
        <v>575</v>
      </c>
      <c r="F31" s="108">
        <v>1850</v>
      </c>
    </row>
    <row r="32" spans="1:6" ht="15" customHeight="1" hidden="1">
      <c r="A32" s="11">
        <v>5</v>
      </c>
      <c r="B32" s="115">
        <v>5800</v>
      </c>
      <c r="C32" s="116">
        <v>50000</v>
      </c>
      <c r="D32" s="108">
        <v>4200</v>
      </c>
      <c r="E32" s="108">
        <v>675</v>
      </c>
      <c r="F32" s="108">
        <v>1850</v>
      </c>
    </row>
    <row r="33" spans="1:6" ht="15" customHeight="1" hidden="1">
      <c r="A33" s="11">
        <v>6</v>
      </c>
      <c r="B33" s="115">
        <v>6500</v>
      </c>
      <c r="C33" s="116">
        <v>55000</v>
      </c>
      <c r="D33" s="108">
        <v>4600</v>
      </c>
      <c r="E33" s="108">
        <v>675</v>
      </c>
      <c r="F33" s="108">
        <v>1850</v>
      </c>
    </row>
    <row r="34" spans="1:6" ht="15" customHeight="1" hidden="1">
      <c r="A34" s="11">
        <v>7</v>
      </c>
      <c r="B34" s="115">
        <v>7000</v>
      </c>
      <c r="C34" s="116">
        <v>55000</v>
      </c>
      <c r="D34" s="108">
        <v>4600</v>
      </c>
      <c r="E34" s="108">
        <v>675</v>
      </c>
      <c r="F34" s="108">
        <v>1850</v>
      </c>
    </row>
    <row r="35" spans="1:6" ht="15" customHeight="1" hidden="1">
      <c r="A35" s="117" t="s">
        <v>3</v>
      </c>
      <c r="B35" s="115">
        <v>10220</v>
      </c>
      <c r="C35" s="116">
        <v>57500</v>
      </c>
      <c r="D35" s="108">
        <v>4800</v>
      </c>
      <c r="E35" s="108">
        <v>825</v>
      </c>
      <c r="F35" s="108">
        <v>3125</v>
      </c>
    </row>
    <row r="36" spans="1:6" ht="15" hidden="1">
      <c r="A36" s="117" t="s">
        <v>7</v>
      </c>
      <c r="B36" s="115">
        <v>11400</v>
      </c>
      <c r="C36" s="116">
        <v>67500</v>
      </c>
      <c r="D36" s="108">
        <v>5600</v>
      </c>
      <c r="E36" s="108">
        <v>825</v>
      </c>
      <c r="F36" s="108">
        <v>3125</v>
      </c>
    </row>
    <row r="37" spans="1:6" ht="15" hidden="1">
      <c r="A37" s="117" t="s">
        <v>9</v>
      </c>
      <c r="B37" s="115">
        <v>13070</v>
      </c>
      <c r="C37" s="116">
        <v>75000</v>
      </c>
      <c r="D37" s="108">
        <v>6250</v>
      </c>
      <c r="E37" s="108">
        <v>825</v>
      </c>
      <c r="F37" s="108">
        <v>3125</v>
      </c>
    </row>
    <row r="38" spans="1:6" ht="15" hidden="1">
      <c r="A38" s="117" t="s">
        <v>34</v>
      </c>
      <c r="B38" s="115">
        <v>15200</v>
      </c>
      <c r="C38" s="116">
        <v>85000</v>
      </c>
      <c r="D38" s="108">
        <v>7100</v>
      </c>
      <c r="E38" s="108">
        <v>825</v>
      </c>
      <c r="F38" s="108">
        <v>3125</v>
      </c>
    </row>
    <row r="39" ht="15" hidden="1"/>
    <row r="40" spans="1:4" ht="15" hidden="1">
      <c r="A40" s="10" t="s">
        <v>1</v>
      </c>
      <c r="B40" s="86" t="s">
        <v>39</v>
      </c>
      <c r="C40" s="105" t="s">
        <v>71</v>
      </c>
      <c r="D40" s="105" t="s">
        <v>72</v>
      </c>
    </row>
    <row r="41" spans="1:4" ht="15" hidden="1">
      <c r="A41" s="11" t="s">
        <v>14</v>
      </c>
      <c r="B41" s="11">
        <v>1</v>
      </c>
      <c r="C41" s="118">
        <v>400</v>
      </c>
      <c r="D41" s="118">
        <v>640</v>
      </c>
    </row>
    <row r="42" spans="1:4" ht="15" hidden="1">
      <c r="A42" s="11" t="s">
        <v>4</v>
      </c>
      <c r="B42" s="11">
        <v>2</v>
      </c>
      <c r="C42" s="118">
        <v>400</v>
      </c>
      <c r="D42" s="118">
        <v>640</v>
      </c>
    </row>
    <row r="43" spans="1:4" ht="15" hidden="1">
      <c r="A43" s="11" t="s">
        <v>15</v>
      </c>
      <c r="B43" s="11">
        <v>3</v>
      </c>
      <c r="C43" s="118">
        <v>400</v>
      </c>
      <c r="D43" s="118">
        <v>640</v>
      </c>
    </row>
    <row r="44" spans="1:4" ht="15" hidden="1">
      <c r="A44" s="11" t="s">
        <v>11</v>
      </c>
      <c r="B44" s="11">
        <v>4</v>
      </c>
      <c r="C44" s="118">
        <v>400</v>
      </c>
      <c r="D44" s="118">
        <v>640</v>
      </c>
    </row>
    <row r="45" spans="1:4" ht="15" hidden="1">
      <c r="A45" s="11" t="s">
        <v>10</v>
      </c>
      <c r="B45" s="11">
        <v>5</v>
      </c>
      <c r="C45" s="118">
        <v>400</v>
      </c>
      <c r="D45" s="118">
        <v>640</v>
      </c>
    </row>
    <row r="46" spans="1:4" ht="15" hidden="1">
      <c r="A46" s="11" t="s">
        <v>2</v>
      </c>
      <c r="B46" s="11">
        <v>6</v>
      </c>
      <c r="C46" s="118">
        <v>450</v>
      </c>
      <c r="D46" s="118">
        <v>800</v>
      </c>
    </row>
    <row r="47" spans="1:4" ht="15" hidden="1">
      <c r="A47" s="11" t="s">
        <v>6</v>
      </c>
      <c r="B47" s="119" t="s">
        <v>3</v>
      </c>
      <c r="C47" s="118">
        <v>450</v>
      </c>
      <c r="D47" s="118">
        <v>800</v>
      </c>
    </row>
    <row r="48" spans="1:4" ht="15" hidden="1">
      <c r="A48" s="11" t="s">
        <v>13</v>
      </c>
      <c r="B48" s="11">
        <v>3</v>
      </c>
      <c r="C48" s="118">
        <v>400</v>
      </c>
      <c r="D48" s="118">
        <v>640</v>
      </c>
    </row>
    <row r="49" spans="1:4" ht="15" hidden="1">
      <c r="A49" s="11" t="s">
        <v>12</v>
      </c>
      <c r="B49" s="11">
        <v>4</v>
      </c>
      <c r="C49" s="118">
        <v>400</v>
      </c>
      <c r="D49" s="118">
        <v>640</v>
      </c>
    </row>
    <row r="50" spans="1:4" ht="15" hidden="1">
      <c r="A50" s="11" t="s">
        <v>8</v>
      </c>
      <c r="B50" s="11">
        <v>5</v>
      </c>
      <c r="C50" s="118">
        <v>400</v>
      </c>
      <c r="D50" s="118">
        <v>640</v>
      </c>
    </row>
    <row r="51" spans="1:4" ht="15" hidden="1">
      <c r="A51" s="11" t="s">
        <v>5</v>
      </c>
      <c r="B51" s="11">
        <v>6</v>
      </c>
      <c r="C51" s="118">
        <v>450</v>
      </c>
      <c r="D51" s="118">
        <v>800</v>
      </c>
    </row>
    <row r="52" spans="1:4" ht="15" hidden="1">
      <c r="A52" s="11" t="s">
        <v>16</v>
      </c>
      <c r="B52" s="11">
        <v>7</v>
      </c>
      <c r="C52" s="118">
        <v>450</v>
      </c>
      <c r="D52" s="118">
        <v>800</v>
      </c>
    </row>
    <row r="53" spans="1:4" ht="15" hidden="1">
      <c r="A53" s="11" t="s">
        <v>3</v>
      </c>
      <c r="B53" s="11" t="s">
        <v>3</v>
      </c>
      <c r="C53" s="118">
        <v>450</v>
      </c>
      <c r="D53" s="118">
        <v>800</v>
      </c>
    </row>
    <row r="54" spans="1:4" ht="15" hidden="1">
      <c r="A54" s="11" t="s">
        <v>7</v>
      </c>
      <c r="B54" s="11" t="s">
        <v>7</v>
      </c>
      <c r="C54" s="118">
        <v>450</v>
      </c>
      <c r="D54" s="118">
        <v>800</v>
      </c>
    </row>
    <row r="55" spans="1:4" ht="15" hidden="1">
      <c r="A55" s="11" t="s">
        <v>9</v>
      </c>
      <c r="B55" s="11" t="s">
        <v>9</v>
      </c>
      <c r="C55" s="118">
        <v>450</v>
      </c>
      <c r="D55" s="118">
        <v>800</v>
      </c>
    </row>
    <row r="56" spans="1:4" ht="15" hidden="1">
      <c r="A56" s="11" t="s">
        <v>34</v>
      </c>
      <c r="B56" s="11" t="s">
        <v>34</v>
      </c>
      <c r="C56" s="118">
        <v>450</v>
      </c>
      <c r="D56" s="118">
        <v>800</v>
      </c>
    </row>
    <row r="57" ht="15">
      <c r="K57" s="134"/>
    </row>
    <row r="58" spans="1:10" s="121" customFormat="1" ht="15">
      <c r="A58" s="120" t="s">
        <v>128</v>
      </c>
      <c r="B58" s="120" t="s">
        <v>63</v>
      </c>
      <c r="E58" s="122"/>
      <c r="I58" s="162" t="s">
        <v>160</v>
      </c>
      <c r="J58" s="162"/>
    </row>
    <row r="59" spans="1:10" s="121" customFormat="1" ht="15.75">
      <c r="A59" s="120" t="s">
        <v>129</v>
      </c>
      <c r="B59" s="120" t="s">
        <v>130</v>
      </c>
      <c r="E59" s="122"/>
      <c r="I59" s="154" t="s">
        <v>39</v>
      </c>
      <c r="J59" s="154" t="s">
        <v>159</v>
      </c>
    </row>
    <row r="60" spans="1:10" ht="15.75">
      <c r="A60" s="123" t="s">
        <v>30</v>
      </c>
      <c r="B60" s="136">
        <v>0</v>
      </c>
      <c r="I60" s="135">
        <v>1</v>
      </c>
      <c r="J60" s="135">
        <v>4300</v>
      </c>
    </row>
    <row r="61" spans="1:10" ht="15.75">
      <c r="A61" s="123" t="s">
        <v>29</v>
      </c>
      <c r="B61" s="136">
        <v>0</v>
      </c>
      <c r="I61" s="135">
        <v>2</v>
      </c>
      <c r="J61" s="135">
        <v>4500</v>
      </c>
    </row>
    <row r="62" spans="1:10" ht="15.75">
      <c r="A62" s="123" t="s">
        <v>28</v>
      </c>
      <c r="B62" s="136">
        <v>0</v>
      </c>
      <c r="I62" s="135">
        <v>3</v>
      </c>
      <c r="J62" s="135">
        <v>4700</v>
      </c>
    </row>
    <row r="63" spans="1:10" ht="15.75">
      <c r="A63" s="123" t="s">
        <v>27</v>
      </c>
      <c r="B63" s="136">
        <v>0</v>
      </c>
      <c r="I63" s="135">
        <v>4</v>
      </c>
      <c r="J63" s="135">
        <v>5100</v>
      </c>
    </row>
    <row r="64" spans="1:10" ht="15.75">
      <c r="A64" s="123" t="s">
        <v>26</v>
      </c>
      <c r="B64" s="136">
        <v>0</v>
      </c>
      <c r="I64" s="135">
        <v>5</v>
      </c>
      <c r="J64" s="135">
        <v>5800</v>
      </c>
    </row>
    <row r="65" spans="1:10" ht="15.75">
      <c r="A65" s="123" t="s">
        <v>25</v>
      </c>
      <c r="B65" s="136">
        <v>0</v>
      </c>
      <c r="I65" s="135">
        <v>6</v>
      </c>
      <c r="J65" s="135">
        <v>6500</v>
      </c>
    </row>
    <row r="66" spans="1:10" ht="15.75">
      <c r="A66" s="123" t="s">
        <v>24</v>
      </c>
      <c r="B66" s="136">
        <v>0</v>
      </c>
      <c r="I66" s="135" t="s">
        <v>3</v>
      </c>
      <c r="J66" s="135">
        <v>10220</v>
      </c>
    </row>
    <row r="67" spans="1:10" ht="15.75">
      <c r="A67" s="123" t="s">
        <v>23</v>
      </c>
      <c r="B67" s="136">
        <v>0</v>
      </c>
      <c r="I67" s="135" t="s">
        <v>7</v>
      </c>
      <c r="J67" s="135">
        <v>11400</v>
      </c>
    </row>
    <row r="68" spans="1:10" ht="15.75">
      <c r="A68" s="123" t="s">
        <v>22</v>
      </c>
      <c r="B68" s="136">
        <v>0</v>
      </c>
      <c r="I68" s="135" t="s">
        <v>9</v>
      </c>
      <c r="J68" s="135">
        <v>13070</v>
      </c>
    </row>
    <row r="69" spans="1:10" ht="15.75">
      <c r="A69" s="123" t="s">
        <v>21</v>
      </c>
      <c r="B69" s="136">
        <v>0</v>
      </c>
      <c r="I69" s="135" t="s">
        <v>34</v>
      </c>
      <c r="J69" s="135">
        <v>15200</v>
      </c>
    </row>
    <row r="70" spans="1:2" ht="15">
      <c r="A70" s="123" t="s">
        <v>20</v>
      </c>
      <c r="B70" s="136">
        <v>0</v>
      </c>
    </row>
    <row r="71" spans="1:2" ht="15">
      <c r="A71" s="123" t="s">
        <v>19</v>
      </c>
      <c r="B71" s="136">
        <v>0</v>
      </c>
    </row>
    <row r="72" spans="1:2" ht="15">
      <c r="A72" s="123" t="s">
        <v>18</v>
      </c>
      <c r="B72" s="136">
        <v>0</v>
      </c>
    </row>
    <row r="73" spans="1:2" ht="15">
      <c r="A73" s="123" t="s">
        <v>121</v>
      </c>
      <c r="B73" s="136">
        <v>0</v>
      </c>
    </row>
    <row r="74" spans="1:2" ht="15">
      <c r="A74" s="123" t="s">
        <v>122</v>
      </c>
      <c r="B74" s="136"/>
    </row>
    <row r="75" ht="15.75" thickBot="1"/>
    <row r="76" spans="1:10" ht="19.5" thickBot="1">
      <c r="A76" s="163" t="s">
        <v>162</v>
      </c>
      <c r="B76" s="164"/>
      <c r="C76" s="164"/>
      <c r="D76" s="164"/>
      <c r="E76" s="164"/>
      <c r="F76" s="164"/>
      <c r="G76" s="164"/>
      <c r="H76" s="164"/>
      <c r="I76" s="164"/>
      <c r="J76" s="165"/>
    </row>
    <row r="77" ht="15">
      <c r="A77" s="155" t="s">
        <v>161</v>
      </c>
    </row>
  </sheetData>
  <sheetProtection password="D12F" sheet="1" objects="1" scenarios="1" selectLockedCells="1"/>
  <mergeCells count="7">
    <mergeCell ref="A1:F1"/>
    <mergeCell ref="I58:J58"/>
    <mergeCell ref="A76:J76"/>
    <mergeCell ref="B2:G2"/>
    <mergeCell ref="B3:G3"/>
    <mergeCell ref="B4:G4"/>
    <mergeCell ref="A6:C6"/>
  </mergeCells>
  <dataValidations count="1">
    <dataValidation allowBlank="1" showInputMessage="1" showErrorMessage="1" promptTitle="Value" prompt="Enter Value" sqref="B8 B11 B13"/>
  </dataValidations>
  <printOptions/>
  <pageMargins left="0.45" right="0.31" top="0.75" bottom="0.75" header="0.3" footer="0.3"/>
  <pageSetup fitToHeight="1" fitToWidth="1" horizontalDpi="600" verticalDpi="600" orientation="portrait" scale="93" r:id="rId2"/>
  <headerFooter alignWithMargins="0">
    <oddFooter>&amp;LNATIONAL UNION OF ONGC EMPLOYEES, DEHRADUN&amp;RAnurag Prakash
(Mob.: 09410390436)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6.00390625" style="7" bestFit="1" customWidth="1"/>
    <col min="2" max="2" width="7.57421875" style="7" bestFit="1" customWidth="1"/>
    <col min="3" max="3" width="8.140625" style="7" customWidth="1"/>
    <col min="4" max="4" width="8.57421875" style="7" customWidth="1"/>
    <col min="5" max="5" width="10.00390625" style="7" customWidth="1"/>
    <col min="6" max="6" width="4.28125" style="7" bestFit="1" customWidth="1"/>
    <col min="7" max="7" width="7.28125" style="7" bestFit="1" customWidth="1"/>
    <col min="8" max="8" width="8.8515625" style="7" bestFit="1" customWidth="1"/>
    <col min="9" max="10" width="7.421875" style="7" bestFit="1" customWidth="1"/>
    <col min="11" max="11" width="8.8515625" style="7" bestFit="1" customWidth="1"/>
    <col min="12" max="12" width="4.7109375" style="7" bestFit="1" customWidth="1"/>
    <col min="13" max="14" width="8.57421875" style="7" customWidth="1"/>
    <col min="15" max="15" width="4.7109375" style="7" bestFit="1" customWidth="1"/>
    <col min="16" max="16" width="7.421875" style="7" bestFit="1" customWidth="1"/>
    <col min="17" max="17" width="8.00390625" style="7" bestFit="1" customWidth="1"/>
    <col min="18" max="22" width="9.140625" style="7" customWidth="1"/>
    <col min="23" max="23" width="7.421875" style="7" bestFit="1" customWidth="1"/>
    <col min="24" max="16384" width="9.140625" style="7" customWidth="1"/>
  </cols>
  <sheetData>
    <row r="1" spans="1:17" ht="15.75">
      <c r="A1" s="185" t="s">
        <v>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5">
      <c r="A2" s="12" t="s">
        <v>0</v>
      </c>
      <c r="B2" s="186" t="str">
        <f>+'INPUT DATA'!B2</f>
        <v>YOUR NAME</v>
      </c>
      <c r="C2" s="186"/>
      <c r="D2" s="186"/>
      <c r="E2" s="186"/>
      <c r="F2" s="186"/>
      <c r="G2" s="187"/>
      <c r="H2" s="13"/>
      <c r="I2" s="8"/>
      <c r="J2" s="8"/>
      <c r="K2" s="8"/>
      <c r="L2" s="8"/>
      <c r="M2" s="8"/>
      <c r="N2" s="8"/>
      <c r="O2" s="8"/>
      <c r="P2" s="8"/>
      <c r="Q2" s="8"/>
    </row>
    <row r="3" spans="1:17" ht="15">
      <c r="A3" s="12" t="s">
        <v>51</v>
      </c>
      <c r="B3" s="186" t="str">
        <f>+'INPUT DATA'!B3</f>
        <v>YOUR DESIGNATION</v>
      </c>
      <c r="C3" s="186"/>
      <c r="D3" s="186"/>
      <c r="E3" s="186"/>
      <c r="F3" s="186"/>
      <c r="G3" s="186"/>
      <c r="H3" s="13"/>
      <c r="I3" s="8"/>
      <c r="J3" s="8"/>
      <c r="K3" s="8"/>
      <c r="L3" s="8"/>
      <c r="M3" s="8"/>
      <c r="N3" s="8"/>
      <c r="O3" s="8"/>
      <c r="P3" s="8"/>
      <c r="Q3" s="8"/>
    </row>
    <row r="4" spans="1:19" ht="15">
      <c r="A4" s="12" t="s">
        <v>50</v>
      </c>
      <c r="B4" s="188" t="str">
        <f>+'INPUT DATA'!B4</f>
        <v>YOUR CPF</v>
      </c>
      <c r="C4" s="188"/>
      <c r="D4" s="188"/>
      <c r="E4" s="188"/>
      <c r="F4" s="188"/>
      <c r="G4" s="188"/>
      <c r="H4" s="8"/>
      <c r="I4" s="8"/>
      <c r="J4" s="8"/>
      <c r="K4" s="8"/>
      <c r="L4" s="8"/>
      <c r="M4" s="8"/>
      <c r="N4" s="8"/>
      <c r="O4" s="8"/>
      <c r="P4" s="8"/>
      <c r="Q4" s="8"/>
      <c r="R4" s="126"/>
      <c r="S4" s="126"/>
    </row>
    <row r="5" spans="1:23" ht="15">
      <c r="A5" s="14"/>
      <c r="B5" s="15"/>
      <c r="C5" s="15"/>
      <c r="D5" s="15"/>
      <c r="E5" s="15"/>
      <c r="F5" s="15"/>
      <c r="G5" s="15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43"/>
      <c r="S5" s="143"/>
      <c r="T5" s="127"/>
      <c r="U5" s="127"/>
      <c r="V5" s="127"/>
      <c r="W5" s="127"/>
    </row>
    <row r="6" spans="1:23" s="62" customFormat="1" ht="12">
      <c r="A6" s="60" t="s">
        <v>64</v>
      </c>
      <c r="B6" s="61" t="s">
        <v>63</v>
      </c>
      <c r="C6" s="182" t="s">
        <v>17</v>
      </c>
      <c r="D6" s="182"/>
      <c r="E6" s="182"/>
      <c r="F6" s="183" t="s">
        <v>62</v>
      </c>
      <c r="G6" s="184"/>
      <c r="H6" s="175"/>
      <c r="I6" s="168" t="s">
        <v>61</v>
      </c>
      <c r="J6" s="168"/>
      <c r="K6" s="168"/>
      <c r="L6" s="173" t="s">
        <v>60</v>
      </c>
      <c r="M6" s="174"/>
      <c r="N6" s="175"/>
      <c r="O6" s="173" t="s">
        <v>59</v>
      </c>
      <c r="P6" s="174"/>
      <c r="Q6" s="175"/>
      <c r="R6" s="168" t="s">
        <v>124</v>
      </c>
      <c r="S6" s="168"/>
      <c r="T6" s="168"/>
      <c r="U6" s="168" t="s">
        <v>128</v>
      </c>
      <c r="V6" s="168"/>
      <c r="W6" s="168"/>
    </row>
    <row r="7" spans="1:23" s="62" customFormat="1" ht="12">
      <c r="A7" s="83"/>
      <c r="B7" s="61" t="s">
        <v>58</v>
      </c>
      <c r="C7" s="83" t="s">
        <v>57</v>
      </c>
      <c r="D7" s="83" t="s">
        <v>55</v>
      </c>
      <c r="E7" s="83" t="s">
        <v>54</v>
      </c>
      <c r="F7" s="83" t="s">
        <v>56</v>
      </c>
      <c r="G7" s="83" t="s">
        <v>55</v>
      </c>
      <c r="H7" s="83" t="s">
        <v>54</v>
      </c>
      <c r="I7" s="83" t="s">
        <v>56</v>
      </c>
      <c r="J7" s="83" t="s">
        <v>55</v>
      </c>
      <c r="K7" s="83" t="s">
        <v>54</v>
      </c>
      <c r="L7" s="83" t="s">
        <v>56</v>
      </c>
      <c r="M7" s="83" t="s">
        <v>55</v>
      </c>
      <c r="N7" s="83" t="s">
        <v>54</v>
      </c>
      <c r="O7" s="83" t="s">
        <v>56</v>
      </c>
      <c r="P7" s="83" t="s">
        <v>55</v>
      </c>
      <c r="Q7" s="83" t="s">
        <v>54</v>
      </c>
      <c r="R7" s="83" t="s">
        <v>56</v>
      </c>
      <c r="S7" s="83" t="s">
        <v>55</v>
      </c>
      <c r="T7" s="83" t="s">
        <v>54</v>
      </c>
      <c r="U7" s="83" t="s">
        <v>56</v>
      </c>
      <c r="V7" s="83" t="s">
        <v>55</v>
      </c>
      <c r="W7" s="83" t="s">
        <v>54</v>
      </c>
    </row>
    <row r="8" spans="1:23" ht="15">
      <c r="A8" s="17" t="s">
        <v>30</v>
      </c>
      <c r="B8" s="18">
        <v>3</v>
      </c>
      <c r="C8" s="19">
        <f>+'INPUT DATA'!$E$18</f>
        <v>0</v>
      </c>
      <c r="D8" s="19">
        <f>+'INPUT DATA'!$C$18</f>
        <v>0</v>
      </c>
      <c r="E8" s="20">
        <f aca="true" t="shared" si="0" ref="E8:E20">(C8-D8)*B8</f>
        <v>0</v>
      </c>
      <c r="F8" s="20">
        <v>0</v>
      </c>
      <c r="G8" s="20">
        <f>+'INPUT DATA'!$D$18</f>
        <v>0</v>
      </c>
      <c r="H8" s="20">
        <f aca="true" t="shared" si="1" ref="H8:H20">(F8-G8)*$B8</f>
        <v>0</v>
      </c>
      <c r="I8" s="19">
        <f>+(C8+F8)*'DA RATES'!$C$2</f>
        <v>0</v>
      </c>
      <c r="J8" s="19">
        <f>+(D8+G8)*'DA RATES'!$B$2</f>
        <v>0</v>
      </c>
      <c r="K8" s="20">
        <f aca="true" t="shared" si="2" ref="K8:K20">(I8-J8)*$B8</f>
        <v>0</v>
      </c>
      <c r="L8" s="20">
        <v>0</v>
      </c>
      <c r="M8" s="20">
        <v>0</v>
      </c>
      <c r="N8" s="20">
        <f>(L8-M8)*$B$8</f>
        <v>0</v>
      </c>
      <c r="O8" s="19">
        <v>0</v>
      </c>
      <c r="P8" s="19">
        <v>0</v>
      </c>
      <c r="Q8" s="20">
        <f aca="true" t="shared" si="3" ref="Q8:Q20">(O8-P8)</f>
        <v>0</v>
      </c>
      <c r="R8" s="19">
        <v>0</v>
      </c>
      <c r="S8" s="19">
        <v>0</v>
      </c>
      <c r="T8" s="20">
        <f aca="true" t="shared" si="4" ref="T8:T14">(R8-S8)</f>
        <v>0</v>
      </c>
      <c r="U8" s="19">
        <f>+(C8+I8)/30*'INPUT DATA'!B60</f>
        <v>0</v>
      </c>
      <c r="V8" s="19">
        <f>+(D8+G8+J8)/30*'INPUT DATA'!B60</f>
        <v>0</v>
      </c>
      <c r="W8" s="20">
        <f aca="true" t="shared" si="5" ref="W8:W22">(U8-V8)</f>
        <v>0</v>
      </c>
    </row>
    <row r="9" spans="1:23" ht="15">
      <c r="A9" s="17" t="s">
        <v>29</v>
      </c>
      <c r="B9" s="18">
        <v>3</v>
      </c>
      <c r="C9" s="19">
        <f>+'INPUT DATA'!$E$18</f>
        <v>0</v>
      </c>
      <c r="D9" s="19">
        <f>+'INPUT DATA'!$C$18</f>
        <v>0</v>
      </c>
      <c r="E9" s="20">
        <f t="shared" si="0"/>
        <v>0</v>
      </c>
      <c r="F9" s="20">
        <v>0</v>
      </c>
      <c r="G9" s="20">
        <f>+'INPUT DATA'!$D$18</f>
        <v>0</v>
      </c>
      <c r="H9" s="20">
        <f t="shared" si="1"/>
        <v>0</v>
      </c>
      <c r="I9" s="19">
        <f>+(C9+F9)*'DA RATES'!$C3</f>
        <v>0</v>
      </c>
      <c r="J9" s="19">
        <f>+(D9+G9)*'DA RATES'!$B3</f>
        <v>0</v>
      </c>
      <c r="K9" s="20">
        <f t="shared" si="2"/>
        <v>0</v>
      </c>
      <c r="L9" s="20">
        <v>0</v>
      </c>
      <c r="M9" s="20">
        <v>0</v>
      </c>
      <c r="N9" s="20">
        <f>(L9-M9)*$B$9</f>
        <v>0</v>
      </c>
      <c r="O9" s="19">
        <v>0</v>
      </c>
      <c r="P9" s="19">
        <v>0</v>
      </c>
      <c r="Q9" s="20">
        <f t="shared" si="3"/>
        <v>0</v>
      </c>
      <c r="R9" s="19">
        <v>0</v>
      </c>
      <c r="S9" s="19">
        <v>0</v>
      </c>
      <c r="T9" s="20">
        <f t="shared" si="4"/>
        <v>0</v>
      </c>
      <c r="U9" s="19">
        <f>+(C9+I9)/30*'INPUT DATA'!B61</f>
        <v>0</v>
      </c>
      <c r="V9" s="19">
        <f>+(D9+G9+J9)/30*'INPUT DATA'!B61</f>
        <v>0</v>
      </c>
      <c r="W9" s="20">
        <f t="shared" si="5"/>
        <v>0</v>
      </c>
    </row>
    <row r="10" spans="1:23" ht="15">
      <c r="A10" s="17" t="s">
        <v>28</v>
      </c>
      <c r="B10" s="18">
        <v>3</v>
      </c>
      <c r="C10" s="19">
        <f>+'INPUT DATA'!$E$18</f>
        <v>0</v>
      </c>
      <c r="D10" s="19">
        <f>+'INPUT DATA'!$C$18</f>
        <v>0</v>
      </c>
      <c r="E10" s="20">
        <f t="shared" si="0"/>
        <v>0</v>
      </c>
      <c r="F10" s="20">
        <v>0</v>
      </c>
      <c r="G10" s="20">
        <f>+'INPUT DATA'!$D$18</f>
        <v>0</v>
      </c>
      <c r="H10" s="20">
        <f t="shared" si="1"/>
        <v>0</v>
      </c>
      <c r="I10" s="19">
        <f>+(C10+F10)*'DA RATES'!$C4</f>
        <v>0</v>
      </c>
      <c r="J10" s="19">
        <f>+(D10+G10)*'DA RATES'!$B4</f>
        <v>0</v>
      </c>
      <c r="K10" s="20">
        <f t="shared" si="2"/>
        <v>0</v>
      </c>
      <c r="L10" s="20">
        <v>0</v>
      </c>
      <c r="M10" s="20">
        <v>0</v>
      </c>
      <c r="N10" s="20">
        <f>(L10-M10)*$B$10</f>
        <v>0</v>
      </c>
      <c r="O10" s="19">
        <v>0</v>
      </c>
      <c r="P10" s="19">
        <v>0</v>
      </c>
      <c r="Q10" s="20">
        <f t="shared" si="3"/>
        <v>0</v>
      </c>
      <c r="R10" s="19">
        <v>0</v>
      </c>
      <c r="S10" s="19">
        <v>0</v>
      </c>
      <c r="T10" s="20">
        <f t="shared" si="4"/>
        <v>0</v>
      </c>
      <c r="U10" s="19">
        <f>+(C10+I10)/30*'INPUT DATA'!B62</f>
        <v>0</v>
      </c>
      <c r="V10" s="19">
        <f>+(D10+G10+J10)/30*'INPUT DATA'!B62</f>
        <v>0</v>
      </c>
      <c r="W10" s="20">
        <f t="shared" si="5"/>
        <v>0</v>
      </c>
    </row>
    <row r="11" spans="1:23" ht="15">
      <c r="A11" s="17" t="s">
        <v>27</v>
      </c>
      <c r="B11" s="18">
        <v>3</v>
      </c>
      <c r="C11" s="19">
        <f>+'INPUT DATA'!$E$18</f>
        <v>0</v>
      </c>
      <c r="D11" s="19">
        <f>+'INPUT DATA'!$C$18</f>
        <v>0</v>
      </c>
      <c r="E11" s="20">
        <f t="shared" si="0"/>
        <v>0</v>
      </c>
      <c r="F11" s="20">
        <v>0</v>
      </c>
      <c r="G11" s="20">
        <f>+'INPUT DATA'!$D$18</f>
        <v>0</v>
      </c>
      <c r="H11" s="20">
        <f t="shared" si="1"/>
        <v>0</v>
      </c>
      <c r="I11" s="19">
        <f>+(C11+F11)*'DA RATES'!$C5</f>
        <v>0</v>
      </c>
      <c r="J11" s="19">
        <f>+(D11+G11)*'DA RATES'!$B5</f>
        <v>0</v>
      </c>
      <c r="K11" s="20">
        <f t="shared" si="2"/>
        <v>0</v>
      </c>
      <c r="L11" s="20">
        <v>0</v>
      </c>
      <c r="M11" s="20">
        <v>0</v>
      </c>
      <c r="N11" s="20">
        <f>(L11-M11)*$B$11</f>
        <v>0</v>
      </c>
      <c r="O11" s="19">
        <v>0</v>
      </c>
      <c r="P11" s="19">
        <f>+VLOOKUP('INPUT DATA'!F18,'INPUT DATA'!A28:D38,3,FALSE)</f>
        <v>75000</v>
      </c>
      <c r="Q11" s="20">
        <f t="shared" si="3"/>
        <v>-75000</v>
      </c>
      <c r="R11" s="19">
        <v>0</v>
      </c>
      <c r="S11" s="19">
        <v>0</v>
      </c>
      <c r="T11" s="20">
        <f t="shared" si="4"/>
        <v>0</v>
      </c>
      <c r="U11" s="19">
        <f>+(C11+I11)/30*'INPUT DATA'!B63</f>
        <v>0</v>
      </c>
      <c r="V11" s="19">
        <f>+(D11+G11+J11)/30*'INPUT DATA'!B63</f>
        <v>0</v>
      </c>
      <c r="W11" s="20">
        <f t="shared" si="5"/>
        <v>0</v>
      </c>
    </row>
    <row r="12" spans="1:23" ht="15">
      <c r="A12" s="17" t="s">
        <v>26</v>
      </c>
      <c r="B12" s="18">
        <v>3</v>
      </c>
      <c r="C12" s="19" t="e">
        <f>+'INPUT DATA'!$E$19</f>
        <v>#DIV/0!</v>
      </c>
      <c r="D12" s="19">
        <f>+'INPUT DATA'!$C$19</f>
        <v>0</v>
      </c>
      <c r="E12" s="20" t="e">
        <f t="shared" si="0"/>
        <v>#DIV/0!</v>
      </c>
      <c r="F12" s="20">
        <v>0</v>
      </c>
      <c r="G12" s="20">
        <f>+'INPUT DATA'!$D$19</f>
        <v>0</v>
      </c>
      <c r="H12" s="20">
        <f t="shared" si="1"/>
        <v>0</v>
      </c>
      <c r="I12" s="19" t="e">
        <f>+(C12+F12)*'DA RATES'!$C6</f>
        <v>#DIV/0!</v>
      </c>
      <c r="J12" s="19">
        <f>+(D12+G12)*'DA RATES'!$B6</f>
        <v>0</v>
      </c>
      <c r="K12" s="20" t="e">
        <f t="shared" si="2"/>
        <v>#DIV/0!</v>
      </c>
      <c r="L12" s="20">
        <v>0</v>
      </c>
      <c r="M12" s="20">
        <f>+VLOOKUP('INPUT DATA'!$F$19,'INPUT DATA'!$A$28:$D$38,4,FALSE)</f>
        <v>6250</v>
      </c>
      <c r="N12" s="20">
        <f aca="true" t="shared" si="6" ref="N12:N20">(L12-M12)*B12</f>
        <v>-18750</v>
      </c>
      <c r="O12" s="19">
        <v>0</v>
      </c>
      <c r="P12" s="19">
        <v>0</v>
      </c>
      <c r="Q12" s="20">
        <f t="shared" si="3"/>
        <v>0</v>
      </c>
      <c r="R12" s="19">
        <v>0</v>
      </c>
      <c r="S12" s="19">
        <v>0</v>
      </c>
      <c r="T12" s="20">
        <f t="shared" si="4"/>
        <v>0</v>
      </c>
      <c r="U12" s="19" t="e">
        <f>+(C12+I12)/30*'INPUT DATA'!B64</f>
        <v>#DIV/0!</v>
      </c>
      <c r="V12" s="19">
        <f>+(D12+G12+J12)/30*'INPUT DATA'!B64</f>
        <v>0</v>
      </c>
      <c r="W12" s="20" t="e">
        <f t="shared" si="5"/>
        <v>#DIV/0!</v>
      </c>
    </row>
    <row r="13" spans="1:23" ht="15">
      <c r="A13" s="17" t="s">
        <v>25</v>
      </c>
      <c r="B13" s="18">
        <v>3</v>
      </c>
      <c r="C13" s="19" t="e">
        <f>+'INPUT DATA'!$E$19</f>
        <v>#DIV/0!</v>
      </c>
      <c r="D13" s="19">
        <f>+'INPUT DATA'!$C$19</f>
        <v>0</v>
      </c>
      <c r="E13" s="20" t="e">
        <f t="shared" si="0"/>
        <v>#DIV/0!</v>
      </c>
      <c r="F13" s="20">
        <v>0</v>
      </c>
      <c r="G13" s="20">
        <f>+'INPUT DATA'!$D$19</f>
        <v>0</v>
      </c>
      <c r="H13" s="20">
        <f t="shared" si="1"/>
        <v>0</v>
      </c>
      <c r="I13" s="19" t="e">
        <f>+(C13+F13)*'DA RATES'!$C7</f>
        <v>#DIV/0!</v>
      </c>
      <c r="J13" s="19">
        <f>+(D13+G13)*'DA RATES'!$B7</f>
        <v>0</v>
      </c>
      <c r="K13" s="20" t="e">
        <f t="shared" si="2"/>
        <v>#DIV/0!</v>
      </c>
      <c r="L13" s="20">
        <v>0</v>
      </c>
      <c r="M13" s="20">
        <f>+VLOOKUP('INPUT DATA'!$F$19,'INPUT DATA'!$A$28:$D$38,4,FALSE)</f>
        <v>6250</v>
      </c>
      <c r="N13" s="20">
        <f t="shared" si="6"/>
        <v>-18750</v>
      </c>
      <c r="O13" s="19">
        <v>0</v>
      </c>
      <c r="P13" s="19">
        <v>0</v>
      </c>
      <c r="Q13" s="20">
        <f t="shared" si="3"/>
        <v>0</v>
      </c>
      <c r="R13" s="19">
        <v>0</v>
      </c>
      <c r="S13" s="19">
        <v>0</v>
      </c>
      <c r="T13" s="20">
        <f t="shared" si="4"/>
        <v>0</v>
      </c>
      <c r="U13" s="19" t="e">
        <f>+(C13+I13)/30*'INPUT DATA'!B65</f>
        <v>#DIV/0!</v>
      </c>
      <c r="V13" s="19">
        <f>+(D13+G13+J13)/30*'INPUT DATA'!B65</f>
        <v>0</v>
      </c>
      <c r="W13" s="20" t="e">
        <f t="shared" si="5"/>
        <v>#DIV/0!</v>
      </c>
    </row>
    <row r="14" spans="1:23" ht="15">
      <c r="A14" s="17" t="s">
        <v>24</v>
      </c>
      <c r="B14" s="18">
        <v>3</v>
      </c>
      <c r="C14" s="19" t="e">
        <f>+'INPUT DATA'!$E$19</f>
        <v>#DIV/0!</v>
      </c>
      <c r="D14" s="19">
        <f>+'INPUT DATA'!$C$19</f>
        <v>0</v>
      </c>
      <c r="E14" s="20" t="e">
        <f t="shared" si="0"/>
        <v>#DIV/0!</v>
      </c>
      <c r="F14" s="20">
        <v>0</v>
      </c>
      <c r="G14" s="20">
        <f>+'INPUT DATA'!$D$19</f>
        <v>0</v>
      </c>
      <c r="H14" s="20">
        <f t="shared" si="1"/>
        <v>0</v>
      </c>
      <c r="I14" s="19" t="e">
        <f>+(C14+F14)*'DA RATES'!$C8</f>
        <v>#DIV/0!</v>
      </c>
      <c r="J14" s="19">
        <f>+(D14+G14)*'DA RATES'!$B8</f>
        <v>0</v>
      </c>
      <c r="K14" s="20" t="e">
        <f t="shared" si="2"/>
        <v>#DIV/0!</v>
      </c>
      <c r="L14" s="20">
        <v>0</v>
      </c>
      <c r="M14" s="20">
        <f>+VLOOKUP('INPUT DATA'!$F$19,'INPUT DATA'!$A$28:$D$38,4,FALSE)</f>
        <v>6250</v>
      </c>
      <c r="N14" s="20">
        <f t="shared" si="6"/>
        <v>-18750</v>
      </c>
      <c r="O14" s="19">
        <v>0</v>
      </c>
      <c r="P14" s="19">
        <v>0</v>
      </c>
      <c r="Q14" s="20">
        <f t="shared" si="3"/>
        <v>0</v>
      </c>
      <c r="R14" s="19">
        <v>0</v>
      </c>
      <c r="S14" s="19">
        <v>0</v>
      </c>
      <c r="T14" s="20">
        <f t="shared" si="4"/>
        <v>0</v>
      </c>
      <c r="U14" s="19" t="e">
        <f>+(C14+I14)/30*'INPUT DATA'!B66</f>
        <v>#DIV/0!</v>
      </c>
      <c r="V14" s="19">
        <f>+(D14+G14+J14)/30*'INPUT DATA'!B66</f>
        <v>0</v>
      </c>
      <c r="W14" s="20" t="e">
        <f t="shared" si="5"/>
        <v>#DIV/0!</v>
      </c>
    </row>
    <row r="15" spans="1:23" ht="15">
      <c r="A15" s="17" t="s">
        <v>23</v>
      </c>
      <c r="B15" s="18">
        <v>3</v>
      </c>
      <c r="C15" s="19" t="e">
        <f>+'INPUT DATA'!$E$19</f>
        <v>#DIV/0!</v>
      </c>
      <c r="D15" s="19">
        <f>+'INPUT DATA'!$C$19</f>
        <v>0</v>
      </c>
      <c r="E15" s="20" t="e">
        <f t="shared" si="0"/>
        <v>#DIV/0!</v>
      </c>
      <c r="F15" s="20">
        <v>0</v>
      </c>
      <c r="G15" s="20">
        <f>+'INPUT DATA'!$D$19</f>
        <v>0</v>
      </c>
      <c r="H15" s="20">
        <f t="shared" si="1"/>
        <v>0</v>
      </c>
      <c r="I15" s="19" t="e">
        <f>+(C15+F15)*'DA RATES'!$C9</f>
        <v>#DIV/0!</v>
      </c>
      <c r="J15" s="19">
        <f>+(D15+G15)*'DA RATES'!$B9</f>
        <v>0</v>
      </c>
      <c r="K15" s="20" t="e">
        <f t="shared" si="2"/>
        <v>#DIV/0!</v>
      </c>
      <c r="L15" s="20">
        <v>0</v>
      </c>
      <c r="M15" s="20">
        <f>+VLOOKUP('INPUT DATA'!$F$19,'INPUT DATA'!$A$28:$D$38,4,FALSE)</f>
        <v>6250</v>
      </c>
      <c r="N15" s="20">
        <f t="shared" si="6"/>
        <v>-18750</v>
      </c>
      <c r="O15" s="19">
        <v>0</v>
      </c>
      <c r="P15" s="19">
        <v>0</v>
      </c>
      <c r="Q15" s="20">
        <f t="shared" si="3"/>
        <v>0</v>
      </c>
      <c r="R15" s="19" t="e">
        <f>+'INPUT DATA'!$C$24*C15</f>
        <v>#DIV/0!</v>
      </c>
      <c r="S15" s="19">
        <f>+IF('INPUT DATA'!$B$24*(D15+G15)&lt;=4500,'INPUT DATA'!$B$24*(D15+G15),4500)</f>
        <v>0</v>
      </c>
      <c r="T15" s="20" t="e">
        <f>(R15-S15)*1</f>
        <v>#DIV/0!</v>
      </c>
      <c r="U15" s="19" t="e">
        <f>+(C15+I15)/30*'INPUT DATA'!B67</f>
        <v>#DIV/0!</v>
      </c>
      <c r="V15" s="19">
        <f>+(D15+G15+J15)/30*'INPUT DATA'!B67</f>
        <v>0</v>
      </c>
      <c r="W15" s="20" t="e">
        <f t="shared" si="5"/>
        <v>#DIV/0!</v>
      </c>
    </row>
    <row r="16" spans="1:23" ht="15">
      <c r="A16" s="17" t="s">
        <v>22</v>
      </c>
      <c r="B16" s="18">
        <v>3</v>
      </c>
      <c r="C16" s="19" t="e">
        <f>+'INPUT DATA'!$E$20</f>
        <v>#DIV/0!</v>
      </c>
      <c r="D16" s="19">
        <f>+'INPUT DATA'!$C$20</f>
        <v>0</v>
      </c>
      <c r="E16" s="20" t="e">
        <f t="shared" si="0"/>
        <v>#DIV/0!</v>
      </c>
      <c r="F16" s="20">
        <v>0</v>
      </c>
      <c r="G16" s="20">
        <f>+'INPUT DATA'!$D$20</f>
        <v>0</v>
      </c>
      <c r="H16" s="20">
        <f t="shared" si="1"/>
        <v>0</v>
      </c>
      <c r="I16" s="19" t="e">
        <f>+(C16+F16)*'DA RATES'!$C10</f>
        <v>#DIV/0!</v>
      </c>
      <c r="J16" s="19">
        <f>+(D16+G16)*'DA RATES'!$B10</f>
        <v>0</v>
      </c>
      <c r="K16" s="20" t="e">
        <f t="shared" si="2"/>
        <v>#DIV/0!</v>
      </c>
      <c r="L16" s="20">
        <v>0</v>
      </c>
      <c r="M16" s="20">
        <f>+VLOOKUP('INPUT DATA'!$F$20,'INPUT DATA'!$A$28:$D$38,4,FALSE)</f>
        <v>6250</v>
      </c>
      <c r="N16" s="20">
        <f t="shared" si="6"/>
        <v>-18750</v>
      </c>
      <c r="O16" s="19">
        <v>0</v>
      </c>
      <c r="P16" s="19">
        <v>0</v>
      </c>
      <c r="Q16" s="20">
        <f t="shared" si="3"/>
        <v>0</v>
      </c>
      <c r="R16" s="19" t="e">
        <f>+'INPUT DATA'!$C$24*C16</f>
        <v>#DIV/0!</v>
      </c>
      <c r="S16" s="19">
        <f>+IF('INPUT DATA'!$B$24*(D16+G16)&lt;=4500,'INPUT DATA'!$B$24*(D16+G16),4500)</f>
        <v>0</v>
      </c>
      <c r="T16" s="20" t="e">
        <f>(R16-S16)*B16</f>
        <v>#DIV/0!</v>
      </c>
      <c r="U16" s="19" t="e">
        <f>+(C16+I16)/30*'INPUT DATA'!B68</f>
        <v>#DIV/0!</v>
      </c>
      <c r="V16" s="19">
        <f>+(D16+G16+J16)/30*'INPUT DATA'!B68</f>
        <v>0</v>
      </c>
      <c r="W16" s="20" t="e">
        <f t="shared" si="5"/>
        <v>#DIV/0!</v>
      </c>
    </row>
    <row r="17" spans="1:23" ht="15">
      <c r="A17" s="17" t="s">
        <v>21</v>
      </c>
      <c r="B17" s="18">
        <v>3</v>
      </c>
      <c r="C17" s="19" t="e">
        <f>+'INPUT DATA'!$E$20</f>
        <v>#DIV/0!</v>
      </c>
      <c r="D17" s="19">
        <f>+'INPUT DATA'!$C$20</f>
        <v>0</v>
      </c>
      <c r="E17" s="20" t="e">
        <f t="shared" si="0"/>
        <v>#DIV/0!</v>
      </c>
      <c r="F17" s="20">
        <v>0</v>
      </c>
      <c r="G17" s="20">
        <f>+'INPUT DATA'!$D$20</f>
        <v>0</v>
      </c>
      <c r="H17" s="20">
        <f t="shared" si="1"/>
        <v>0</v>
      </c>
      <c r="I17" s="19" t="e">
        <f>+(C17+F17)*'DA RATES'!$C11</f>
        <v>#DIV/0!</v>
      </c>
      <c r="J17" s="19">
        <f>+(D17+G17)*'DA RATES'!$B11</f>
        <v>0</v>
      </c>
      <c r="K17" s="20" t="e">
        <f t="shared" si="2"/>
        <v>#DIV/0!</v>
      </c>
      <c r="L17" s="20">
        <v>0</v>
      </c>
      <c r="M17" s="20">
        <f>+VLOOKUP('INPUT DATA'!$F$20,'INPUT DATA'!$A$28:$D$38,4,FALSE)</f>
        <v>6250</v>
      </c>
      <c r="N17" s="20">
        <f t="shared" si="6"/>
        <v>-18750</v>
      </c>
      <c r="O17" s="19">
        <v>0</v>
      </c>
      <c r="P17" s="19">
        <v>0</v>
      </c>
      <c r="Q17" s="20">
        <f t="shared" si="3"/>
        <v>0</v>
      </c>
      <c r="R17" s="19" t="e">
        <f>+'INPUT DATA'!$C$24*C17</f>
        <v>#DIV/0!</v>
      </c>
      <c r="S17" s="19">
        <f>+IF('INPUT DATA'!$B$24*(D17+G17)&lt;=4500,'INPUT DATA'!$B$24*(D17+G17),4500)</f>
        <v>0</v>
      </c>
      <c r="T17" s="20" t="e">
        <f aca="true" t="shared" si="7" ref="T17:T22">(R17-S17)*B17</f>
        <v>#DIV/0!</v>
      </c>
      <c r="U17" s="19" t="e">
        <f>+(C17+I17)/30*'INPUT DATA'!B69</f>
        <v>#DIV/0!</v>
      </c>
      <c r="V17" s="19">
        <f>+(D17+G17+J17)/30*'INPUT DATA'!B69</f>
        <v>0</v>
      </c>
      <c r="W17" s="20" t="e">
        <f t="shared" si="5"/>
        <v>#DIV/0!</v>
      </c>
    </row>
    <row r="18" spans="1:23" ht="15">
      <c r="A18" s="17" t="s">
        <v>20</v>
      </c>
      <c r="B18" s="18">
        <v>3</v>
      </c>
      <c r="C18" s="19" t="e">
        <f>+'INPUT DATA'!$E$20</f>
        <v>#DIV/0!</v>
      </c>
      <c r="D18" s="19">
        <f>+'INPUT DATA'!$C$20</f>
        <v>0</v>
      </c>
      <c r="E18" s="20" t="e">
        <f t="shared" si="0"/>
        <v>#DIV/0!</v>
      </c>
      <c r="F18" s="20">
        <v>0</v>
      </c>
      <c r="G18" s="20">
        <f>+'INPUT DATA'!$D$20</f>
        <v>0</v>
      </c>
      <c r="H18" s="20">
        <f t="shared" si="1"/>
        <v>0</v>
      </c>
      <c r="I18" s="19" t="e">
        <f>+(C18+F18)*'DA RATES'!$C12</f>
        <v>#DIV/0!</v>
      </c>
      <c r="J18" s="19">
        <f>+(D18+G18)*'DA RATES'!$B12</f>
        <v>0</v>
      </c>
      <c r="K18" s="20" t="e">
        <f t="shared" si="2"/>
        <v>#DIV/0!</v>
      </c>
      <c r="L18" s="20">
        <v>0</v>
      </c>
      <c r="M18" s="20">
        <f>+VLOOKUP('INPUT DATA'!$F$20,'INPUT DATA'!$A$28:$D$38,4,FALSE)</f>
        <v>6250</v>
      </c>
      <c r="N18" s="20">
        <f t="shared" si="6"/>
        <v>-18750</v>
      </c>
      <c r="O18" s="19">
        <v>0</v>
      </c>
      <c r="P18" s="19">
        <v>0</v>
      </c>
      <c r="Q18" s="20">
        <f t="shared" si="3"/>
        <v>0</v>
      </c>
      <c r="R18" s="19" t="e">
        <f>+'INPUT DATA'!$C$24*C18</f>
        <v>#DIV/0!</v>
      </c>
      <c r="S18" s="19">
        <f>+IF('INPUT DATA'!$B$24*(D18+G18)&lt;=4500,'INPUT DATA'!$B$24*(D18+G18),4500)</f>
        <v>0</v>
      </c>
      <c r="T18" s="20" t="e">
        <f t="shared" si="7"/>
        <v>#DIV/0!</v>
      </c>
      <c r="U18" s="19" t="e">
        <f>+(C18+I18)/30*'INPUT DATA'!B70</f>
        <v>#DIV/0!</v>
      </c>
      <c r="V18" s="19">
        <f>+(D18+G18+J18)/30*'INPUT DATA'!B70</f>
        <v>0</v>
      </c>
      <c r="W18" s="20" t="e">
        <f t="shared" si="5"/>
        <v>#DIV/0!</v>
      </c>
    </row>
    <row r="19" spans="1:23" ht="15">
      <c r="A19" s="17" t="s">
        <v>19</v>
      </c>
      <c r="B19" s="18">
        <v>3</v>
      </c>
      <c r="C19" s="19" t="e">
        <f>+'INPUT DATA'!$E$20</f>
        <v>#DIV/0!</v>
      </c>
      <c r="D19" s="19">
        <f>+'INPUT DATA'!$C$20</f>
        <v>0</v>
      </c>
      <c r="E19" s="20" t="e">
        <f t="shared" si="0"/>
        <v>#DIV/0!</v>
      </c>
      <c r="F19" s="20">
        <v>0</v>
      </c>
      <c r="G19" s="20">
        <f>+'INPUT DATA'!$D$20</f>
        <v>0</v>
      </c>
      <c r="H19" s="20">
        <f t="shared" si="1"/>
        <v>0</v>
      </c>
      <c r="I19" s="19" t="e">
        <f>+(C19+F19)*'DA RATES'!$C13</f>
        <v>#DIV/0!</v>
      </c>
      <c r="J19" s="19">
        <f>+(D19+G19)*'DA RATES'!$B13</f>
        <v>0</v>
      </c>
      <c r="K19" s="20" t="e">
        <f t="shared" si="2"/>
        <v>#DIV/0!</v>
      </c>
      <c r="L19" s="20">
        <v>0</v>
      </c>
      <c r="M19" s="20">
        <f>+VLOOKUP('INPUT DATA'!$F$20,'INPUT DATA'!$A$28:$D$38,4,FALSE)</f>
        <v>6250</v>
      </c>
      <c r="N19" s="20">
        <f t="shared" si="6"/>
        <v>-18750</v>
      </c>
      <c r="O19" s="19">
        <v>0</v>
      </c>
      <c r="P19" s="19">
        <v>0</v>
      </c>
      <c r="Q19" s="20">
        <f t="shared" si="3"/>
        <v>0</v>
      </c>
      <c r="R19" s="19" t="e">
        <f>+'INPUT DATA'!$C$24*C19</f>
        <v>#DIV/0!</v>
      </c>
      <c r="S19" s="19">
        <f>+IF('INPUT DATA'!$B$24*(D19+G19)&lt;=4500,'INPUT DATA'!$B$24*(D19+G19),4500)</f>
        <v>0</v>
      </c>
      <c r="T19" s="20" t="e">
        <f t="shared" si="7"/>
        <v>#DIV/0!</v>
      </c>
      <c r="U19" s="19" t="e">
        <f>+(C19+I19)/30*'INPUT DATA'!B71</f>
        <v>#DIV/0!</v>
      </c>
      <c r="V19" s="19">
        <f>+(D19+G19+J19)/30*'INPUT DATA'!B71</f>
        <v>0</v>
      </c>
      <c r="W19" s="20" t="e">
        <f t="shared" si="5"/>
        <v>#DIV/0!</v>
      </c>
    </row>
    <row r="20" spans="1:23" ht="15">
      <c r="A20" s="17" t="s">
        <v>18</v>
      </c>
      <c r="B20" s="18">
        <v>3</v>
      </c>
      <c r="C20" s="19" t="e">
        <f>+'INPUT DATA'!$E$21</f>
        <v>#DIV/0!</v>
      </c>
      <c r="D20" s="19">
        <f>+'INPUT DATA'!$C$21</f>
        <v>0</v>
      </c>
      <c r="E20" s="20" t="e">
        <f t="shared" si="0"/>
        <v>#DIV/0!</v>
      </c>
      <c r="F20" s="20">
        <v>0</v>
      </c>
      <c r="G20" s="20">
        <f>+'INPUT DATA'!$D$20</f>
        <v>0</v>
      </c>
      <c r="H20" s="20">
        <f t="shared" si="1"/>
        <v>0</v>
      </c>
      <c r="I20" s="19" t="e">
        <f>+(C20+F20)*'DA RATES'!$C14</f>
        <v>#DIV/0!</v>
      </c>
      <c r="J20" s="19">
        <f>+(D20+G20)*'DA RATES'!$B14</f>
        <v>0</v>
      </c>
      <c r="K20" s="20" t="e">
        <f t="shared" si="2"/>
        <v>#DIV/0!</v>
      </c>
      <c r="L20" s="20">
        <v>0</v>
      </c>
      <c r="M20" s="20">
        <f>+VLOOKUP('INPUT DATA'!$F$21,'INPUT DATA'!$A$28:$D$38,4,FALSE)</f>
        <v>6250</v>
      </c>
      <c r="N20" s="20">
        <f t="shared" si="6"/>
        <v>-18750</v>
      </c>
      <c r="O20" s="19">
        <v>0</v>
      </c>
      <c r="P20" s="19">
        <v>0</v>
      </c>
      <c r="Q20" s="20">
        <f t="shared" si="3"/>
        <v>0</v>
      </c>
      <c r="R20" s="19" t="e">
        <f>+'INPUT DATA'!$C$24*C20</f>
        <v>#DIV/0!</v>
      </c>
      <c r="S20" s="19">
        <f>+IF('INPUT DATA'!$B$24*(D20+G20)&lt;=4500,'INPUT DATA'!$B$24*(D20+G20),4500)</f>
        <v>0</v>
      </c>
      <c r="T20" s="20" t="e">
        <f t="shared" si="7"/>
        <v>#DIV/0!</v>
      </c>
      <c r="U20" s="19" t="e">
        <f>+(C20+I20)/30*'INPUT DATA'!B72</f>
        <v>#DIV/0!</v>
      </c>
      <c r="V20" s="19">
        <f>+(D20+G20+J20)/30*'INPUT DATA'!B72</f>
        <v>0</v>
      </c>
      <c r="W20" s="20" t="e">
        <f t="shared" si="5"/>
        <v>#DIV/0!</v>
      </c>
    </row>
    <row r="21" spans="1:23" ht="15">
      <c r="A21" s="17" t="s">
        <v>121</v>
      </c>
      <c r="B21" s="18">
        <v>3</v>
      </c>
      <c r="C21" s="19" t="e">
        <f>+'INPUT DATA'!$E$21</f>
        <v>#DIV/0!</v>
      </c>
      <c r="D21" s="19">
        <f>+'INPUT DATA'!$C$21</f>
        <v>0</v>
      </c>
      <c r="E21" s="20" t="e">
        <f>(C21-D21)*B21</f>
        <v>#DIV/0!</v>
      </c>
      <c r="F21" s="20">
        <v>0</v>
      </c>
      <c r="G21" s="20">
        <f>+'INPUT DATA'!$D$20</f>
        <v>0</v>
      </c>
      <c r="H21" s="20">
        <f>(F21-G21)*$B21</f>
        <v>0</v>
      </c>
      <c r="I21" s="19" t="e">
        <f>+(C21+F21)*'DA RATES'!$C15</f>
        <v>#DIV/0!</v>
      </c>
      <c r="J21" s="19">
        <f>+(D21+G21)*'DA RATES'!$B15</f>
        <v>0</v>
      </c>
      <c r="K21" s="20" t="e">
        <f>(I21-J21)*$B21</f>
        <v>#DIV/0!</v>
      </c>
      <c r="L21" s="20">
        <v>0</v>
      </c>
      <c r="M21" s="20">
        <f>+VLOOKUP('INPUT DATA'!$F$21,'INPUT DATA'!$A$28:$D$38,4,FALSE)</f>
        <v>6250</v>
      </c>
      <c r="N21" s="20">
        <f>(L21-M21)*B21</f>
        <v>-18750</v>
      </c>
      <c r="O21" s="19">
        <v>0</v>
      </c>
      <c r="P21" s="19">
        <v>0</v>
      </c>
      <c r="Q21" s="20">
        <f>(O21-P21)</f>
        <v>0</v>
      </c>
      <c r="R21" s="19" t="e">
        <f>+'INPUT DATA'!$C$24*C21</f>
        <v>#DIV/0!</v>
      </c>
      <c r="S21" s="19">
        <f>+IF('INPUT DATA'!$B$24*(D21+G21)&lt;=4500,'INPUT DATA'!$B$24*(D21+G21),4500)</f>
        <v>0</v>
      </c>
      <c r="T21" s="20" t="e">
        <f t="shared" si="7"/>
        <v>#DIV/0!</v>
      </c>
      <c r="U21" s="19" t="e">
        <f>+(C21+I21)/30*'INPUT DATA'!B73</f>
        <v>#DIV/0!</v>
      </c>
      <c r="V21" s="19">
        <f>+(D21+G21+J21)/30*'INPUT DATA'!B73</f>
        <v>0</v>
      </c>
      <c r="W21" s="20" t="e">
        <f t="shared" si="5"/>
        <v>#DIV/0!</v>
      </c>
    </row>
    <row r="22" spans="1:23" ht="15">
      <c r="A22" s="17" t="s">
        <v>122</v>
      </c>
      <c r="B22" s="18">
        <v>3</v>
      </c>
      <c r="C22" s="19" t="e">
        <f>+'INPUT DATA'!$E$21</f>
        <v>#DIV/0!</v>
      </c>
      <c r="D22" s="19">
        <f>+'INPUT DATA'!$C$21</f>
        <v>0</v>
      </c>
      <c r="E22" s="20" t="e">
        <f>(C22-D22)*B22</f>
        <v>#DIV/0!</v>
      </c>
      <c r="F22" s="20">
        <v>0</v>
      </c>
      <c r="G22" s="20">
        <f>+'INPUT DATA'!$D$20</f>
        <v>0</v>
      </c>
      <c r="H22" s="20">
        <f>(F22-G22)*$B22</f>
        <v>0</v>
      </c>
      <c r="I22" s="19" t="e">
        <f>+(C22+F22)*'DA RATES'!$C16</f>
        <v>#DIV/0!</v>
      </c>
      <c r="J22" s="19">
        <f>+(D22+G22)*'DA RATES'!$B16</f>
        <v>0</v>
      </c>
      <c r="K22" s="20" t="e">
        <f>(I22-J22)*$B22</f>
        <v>#DIV/0!</v>
      </c>
      <c r="L22" s="20">
        <v>0</v>
      </c>
      <c r="M22" s="20">
        <f>+VLOOKUP('INPUT DATA'!$F$21,'INPUT DATA'!$A$28:$D$38,4,FALSE)</f>
        <v>6250</v>
      </c>
      <c r="N22" s="20">
        <f>(L22-M22)*B22</f>
        <v>-18750</v>
      </c>
      <c r="O22" s="19">
        <v>0</v>
      </c>
      <c r="P22" s="19">
        <v>0</v>
      </c>
      <c r="Q22" s="20">
        <f>(O22-P22)</f>
        <v>0</v>
      </c>
      <c r="R22" s="19" t="e">
        <f>+'INPUT DATA'!$C$24*C22</f>
        <v>#DIV/0!</v>
      </c>
      <c r="S22" s="19">
        <f>+IF('INPUT DATA'!$B$24*(D22+G22)&lt;=4500,'INPUT DATA'!$B$24*(D22+G22),4500)</f>
        <v>0</v>
      </c>
      <c r="T22" s="20" t="e">
        <f t="shared" si="7"/>
        <v>#DIV/0!</v>
      </c>
      <c r="U22" s="19" t="e">
        <f>+(C22+I22)/30*'INPUT DATA'!B74</f>
        <v>#DIV/0!</v>
      </c>
      <c r="V22" s="19">
        <f>+(D22+G22+J22)/30*'INPUT DATA'!B74</f>
        <v>0</v>
      </c>
      <c r="W22" s="20" t="e">
        <f t="shared" si="5"/>
        <v>#DIV/0!</v>
      </c>
    </row>
    <row r="23" spans="1:23" ht="15">
      <c r="A23" s="16" t="s">
        <v>53</v>
      </c>
      <c r="B23" s="16"/>
      <c r="C23" s="21"/>
      <c r="D23" s="21"/>
      <c r="E23" s="21" t="e">
        <f>SUM(E8:E22)</f>
        <v>#DIV/0!</v>
      </c>
      <c r="F23" s="21"/>
      <c r="G23" s="21"/>
      <c r="H23" s="21">
        <f>SUM(H8:H22)</f>
        <v>0</v>
      </c>
      <c r="I23" s="21"/>
      <c r="J23" s="21"/>
      <c r="K23" s="21" t="e">
        <f>SUM(K8:K22)</f>
        <v>#DIV/0!</v>
      </c>
      <c r="L23" s="21"/>
      <c r="M23" s="21"/>
      <c r="N23" s="21">
        <f>SUM(N8:N22)</f>
        <v>-206250</v>
      </c>
      <c r="O23" s="21"/>
      <c r="P23" s="21"/>
      <c r="Q23" s="21">
        <f>SUM(Q8:Q22)</f>
        <v>-75000</v>
      </c>
      <c r="R23" s="21"/>
      <c r="S23" s="21"/>
      <c r="T23" s="21" t="e">
        <f>SUM(T8:T22)</f>
        <v>#DIV/0!</v>
      </c>
      <c r="U23" s="21"/>
      <c r="V23" s="21"/>
      <c r="W23" s="21" t="e">
        <f>SUM(W8:W22)</f>
        <v>#DIV/0!</v>
      </c>
    </row>
    <row r="24" spans="1:17" ht="15.75" thickBot="1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3" s="84" customFormat="1" ht="18.75">
      <c r="A25" s="140"/>
      <c r="B25" s="140"/>
      <c r="C25" s="141"/>
      <c r="D25" s="141"/>
      <c r="E25" s="141"/>
      <c r="F25" s="141"/>
      <c r="L25" s="178" t="s">
        <v>52</v>
      </c>
      <c r="M25" s="178"/>
      <c r="N25" s="178"/>
      <c r="O25" s="179"/>
      <c r="P25" s="176" t="e">
        <f>SUM(E23:Q23)</f>
        <v>#DIV/0!</v>
      </c>
      <c r="Q25" s="177"/>
      <c r="S25" s="169" t="e">
        <f>SUM(E23:T23)</f>
        <v>#DIV/0!</v>
      </c>
      <c r="T25" s="170"/>
      <c r="V25" s="169" t="e">
        <f>SUM(E23:W23)</f>
        <v>#DIV/0!</v>
      </c>
      <c r="W25" s="170"/>
    </row>
    <row r="26" spans="1:23" s="84" customFormat="1" ht="15.75" thickBot="1">
      <c r="A26" s="155" t="s">
        <v>161</v>
      </c>
      <c r="B26" s="140"/>
      <c r="C26" s="141"/>
      <c r="D26" s="141"/>
      <c r="E26" s="141"/>
      <c r="F26" s="141"/>
      <c r="P26" s="180" t="s">
        <v>125</v>
      </c>
      <c r="Q26" s="181"/>
      <c r="S26" s="171" t="s">
        <v>126</v>
      </c>
      <c r="T26" s="172"/>
      <c r="V26" s="171" t="s">
        <v>131</v>
      </c>
      <c r="W26" s="172"/>
    </row>
    <row r="27" s="84" customFormat="1" ht="15"/>
  </sheetData>
  <sheetProtection password="D12F" sheet="1" objects="1" scenarios="1" selectLockedCells="1"/>
  <mergeCells count="18">
    <mergeCell ref="A1:Q1"/>
    <mergeCell ref="B2:G2"/>
    <mergeCell ref="B3:G3"/>
    <mergeCell ref="B4:G4"/>
    <mergeCell ref="C6:E6"/>
    <mergeCell ref="F6:H6"/>
    <mergeCell ref="I6:K6"/>
    <mergeCell ref="L6:N6"/>
    <mergeCell ref="U6:W6"/>
    <mergeCell ref="V25:W25"/>
    <mergeCell ref="V26:W26"/>
    <mergeCell ref="O6:Q6"/>
    <mergeCell ref="P25:Q25"/>
    <mergeCell ref="L25:O25"/>
    <mergeCell ref="R6:T6"/>
    <mergeCell ref="S25:T25"/>
    <mergeCell ref="P26:Q26"/>
    <mergeCell ref="S26:T26"/>
  </mergeCells>
  <printOptions/>
  <pageMargins left="0.25" right="0.24" top="0.78" bottom="0.57" header="0.3" footer="0.3"/>
  <pageSetup fitToHeight="1" fitToWidth="1" horizontalDpi="600" verticalDpi="600" orientation="landscape" scale="70" r:id="rId1"/>
  <headerFooter alignWithMargins="0">
    <oddFooter>&amp;LNATIONAL UNION OF ONGC EMPLOYEES, DEHRADUN&amp;RAnurag Prakash
(Mob.: 09410390436)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83" zoomScaleNormal="83" zoomScalePageLayoutView="0" workbookViewId="0" topLeftCell="A7">
      <selection activeCell="E16" sqref="E16"/>
    </sheetView>
  </sheetViews>
  <sheetFormatPr defaultColWidth="9.140625" defaultRowHeight="15"/>
  <cols>
    <col min="1" max="1" width="13.421875" style="7" customWidth="1"/>
    <col min="2" max="2" width="14.00390625" style="7" customWidth="1"/>
    <col min="3" max="3" width="12.57421875" style="7" customWidth="1"/>
    <col min="4" max="4" width="8.421875" style="7" customWidth="1"/>
    <col min="5" max="5" width="12.57421875" style="7" bestFit="1" customWidth="1"/>
    <col min="6" max="6" width="7.8515625" style="7" bestFit="1" customWidth="1"/>
    <col min="7" max="7" width="10.8515625" style="7" customWidth="1"/>
    <col min="8" max="8" width="13.00390625" style="7" bestFit="1" customWidth="1"/>
    <col min="9" max="9" width="8.421875" style="7" bestFit="1" customWidth="1"/>
    <col min="10" max="10" width="9.8515625" style="7" bestFit="1" customWidth="1"/>
    <col min="11" max="11" width="17.7109375" style="7" bestFit="1" customWidth="1"/>
    <col min="12" max="12" width="14.421875" style="7" bestFit="1" customWidth="1"/>
    <col min="13" max="13" width="17.8515625" style="7" bestFit="1" customWidth="1"/>
    <col min="14" max="16384" width="9.140625" style="7" customWidth="1"/>
  </cols>
  <sheetData>
    <row r="1" spans="1:13" ht="44.25" customHeight="1">
      <c r="A1" s="208" t="s">
        <v>77</v>
      </c>
      <c r="B1" s="208"/>
      <c r="C1" s="208"/>
      <c r="D1" s="208"/>
      <c r="E1" s="208" t="str">
        <f>+'INPUT DATA'!B2</f>
        <v>YOUR NAME</v>
      </c>
      <c r="F1" s="208"/>
      <c r="G1" s="208"/>
      <c r="H1" s="208"/>
      <c r="I1" s="24"/>
      <c r="J1" s="24"/>
      <c r="K1" s="24"/>
      <c r="L1" s="24"/>
      <c r="M1" s="24"/>
    </row>
    <row r="2" spans="1:13" ht="27">
      <c r="A2" s="209" t="s">
        <v>78</v>
      </c>
      <c r="B2" s="209"/>
      <c r="C2" s="209"/>
      <c r="D2" s="209"/>
      <c r="E2" s="142">
        <v>0.47</v>
      </c>
      <c r="F2" s="25"/>
      <c r="G2" s="25"/>
      <c r="H2" s="25"/>
      <c r="I2" s="25"/>
      <c r="J2" s="25"/>
      <c r="K2" s="25"/>
      <c r="L2" s="25"/>
      <c r="M2" s="25"/>
    </row>
    <row r="3" spans="1:13" ht="15" customHeight="1">
      <c r="A3" s="195" t="s">
        <v>79</v>
      </c>
      <c r="B3" s="196"/>
      <c r="C3" s="196"/>
      <c r="D3" s="197"/>
      <c r="E3" s="131" t="e">
        <f>+'INPUT DATA'!E19</f>
        <v>#DIV/0!</v>
      </c>
      <c r="F3" s="26"/>
      <c r="G3" s="26"/>
      <c r="H3" s="26"/>
      <c r="I3" s="26"/>
      <c r="J3" s="26"/>
      <c r="K3" s="26"/>
      <c r="L3" s="26"/>
      <c r="M3" s="27"/>
    </row>
    <row r="4" spans="1:13" ht="15">
      <c r="A4" s="195" t="s">
        <v>80</v>
      </c>
      <c r="B4" s="196"/>
      <c r="C4" s="196"/>
      <c r="D4" s="197"/>
      <c r="E4" s="131" t="e">
        <f>+'INPUT DATA'!E20</f>
        <v>#DIV/0!</v>
      </c>
      <c r="F4" s="28"/>
      <c r="G4" s="28"/>
      <c r="H4" s="28"/>
      <c r="I4" s="28"/>
      <c r="J4" s="28"/>
      <c r="K4" s="28"/>
      <c r="L4" s="28"/>
      <c r="M4" s="28"/>
    </row>
    <row r="5" spans="1:13" ht="15">
      <c r="A5" s="195" t="s">
        <v>81</v>
      </c>
      <c r="B5" s="196"/>
      <c r="C5" s="196"/>
      <c r="D5" s="197"/>
      <c r="E5" s="131" t="e">
        <f>+'INPUT DATA'!E21</f>
        <v>#DIV/0!</v>
      </c>
      <c r="F5" s="28"/>
      <c r="G5" s="28"/>
      <c r="H5" s="28"/>
      <c r="I5" s="28"/>
      <c r="J5" s="28"/>
      <c r="K5" s="28"/>
      <c r="L5" s="28"/>
      <c r="M5" s="28"/>
    </row>
    <row r="6" spans="1:13" ht="15" customHeight="1">
      <c r="A6" s="195" t="s">
        <v>82</v>
      </c>
      <c r="B6" s="196"/>
      <c r="C6" s="196"/>
      <c r="D6" s="197"/>
      <c r="E6" s="144"/>
      <c r="F6" s="210" t="s">
        <v>152</v>
      </c>
      <c r="G6" s="204"/>
      <c r="H6" s="204"/>
      <c r="I6" s="28"/>
      <c r="J6" s="28"/>
      <c r="K6" s="28"/>
      <c r="L6" s="28"/>
      <c r="M6" s="28"/>
    </row>
    <row r="7" spans="1:13" ht="15" customHeight="1">
      <c r="A7" s="195" t="s">
        <v>83</v>
      </c>
      <c r="B7" s="196"/>
      <c r="C7" s="196"/>
      <c r="D7" s="197"/>
      <c r="E7" s="144"/>
      <c r="F7" s="210" t="s">
        <v>152</v>
      </c>
      <c r="G7" s="204"/>
      <c r="H7" s="204"/>
      <c r="I7" s="28"/>
      <c r="J7" s="28"/>
      <c r="K7" s="28"/>
      <c r="L7" s="28"/>
      <c r="M7" s="28"/>
    </row>
    <row r="8" spans="1:13" ht="15" customHeight="1">
      <c r="A8" s="195" t="s">
        <v>84</v>
      </c>
      <c r="B8" s="196"/>
      <c r="C8" s="196"/>
      <c r="D8" s="197"/>
      <c r="E8" s="144"/>
      <c r="F8" s="210" t="s">
        <v>152</v>
      </c>
      <c r="G8" s="204"/>
      <c r="H8" s="204"/>
      <c r="I8" s="28"/>
      <c r="J8" s="28"/>
      <c r="K8" s="28"/>
      <c r="L8" s="28"/>
      <c r="M8" s="28"/>
    </row>
    <row r="9" spans="1:13" ht="15" customHeight="1">
      <c r="A9" s="195" t="s">
        <v>85</v>
      </c>
      <c r="B9" s="196"/>
      <c r="C9" s="196"/>
      <c r="D9" s="197"/>
      <c r="E9" s="145"/>
      <c r="F9" s="204" t="s">
        <v>152</v>
      </c>
      <c r="G9" s="204"/>
      <c r="H9" s="204"/>
      <c r="I9" s="28"/>
      <c r="J9" s="28"/>
      <c r="K9" s="28"/>
      <c r="L9" s="28"/>
      <c r="M9" s="28"/>
    </row>
    <row r="10" spans="1:13" ht="15" customHeight="1">
      <c r="A10" s="195" t="s">
        <v>86</v>
      </c>
      <c r="B10" s="196"/>
      <c r="C10" s="196"/>
      <c r="D10" s="197"/>
      <c r="E10" s="145"/>
      <c r="F10" s="204" t="s">
        <v>153</v>
      </c>
      <c r="G10" s="204"/>
      <c r="H10" s="204"/>
      <c r="I10" s="28"/>
      <c r="J10" s="28"/>
      <c r="K10" s="28"/>
      <c r="L10" s="28"/>
      <c r="M10" s="28"/>
    </row>
    <row r="11" spans="1:13" ht="15" customHeight="1">
      <c r="A11" s="195" t="s">
        <v>87</v>
      </c>
      <c r="B11" s="196"/>
      <c r="C11" s="196"/>
      <c r="D11" s="197"/>
      <c r="E11" s="145"/>
      <c r="F11" s="204" t="s">
        <v>154</v>
      </c>
      <c r="G11" s="204"/>
      <c r="H11" s="204"/>
      <c r="I11" s="28"/>
      <c r="J11" s="28"/>
      <c r="K11" s="28"/>
      <c r="L11" s="28"/>
      <c r="M11" s="28"/>
    </row>
    <row r="12" spans="1:13" ht="15" customHeight="1">
      <c r="A12" s="195" t="s">
        <v>88</v>
      </c>
      <c r="B12" s="196"/>
      <c r="C12" s="196"/>
      <c r="D12" s="197"/>
      <c r="E12" s="145"/>
      <c r="F12" s="204" t="s">
        <v>154</v>
      </c>
      <c r="G12" s="204"/>
      <c r="H12" s="204"/>
      <c r="I12" s="28"/>
      <c r="J12" s="28"/>
      <c r="K12" s="28"/>
      <c r="L12" s="28"/>
      <c r="M12" s="28"/>
    </row>
    <row r="13" spans="1:13" ht="15" customHeight="1">
      <c r="A13" s="195" t="s">
        <v>89</v>
      </c>
      <c r="B13" s="196"/>
      <c r="C13" s="196"/>
      <c r="D13" s="197"/>
      <c r="E13" s="145"/>
      <c r="F13" s="204" t="s">
        <v>152</v>
      </c>
      <c r="G13" s="204"/>
      <c r="H13" s="204"/>
      <c r="I13" s="28"/>
      <c r="J13" s="28"/>
      <c r="K13" s="28"/>
      <c r="L13" s="28"/>
      <c r="M13" s="28"/>
    </row>
    <row r="14" spans="1:13" ht="15" customHeight="1">
      <c r="A14" s="195" t="s">
        <v>90</v>
      </c>
      <c r="B14" s="196"/>
      <c r="C14" s="196"/>
      <c r="D14" s="197"/>
      <c r="E14" s="145"/>
      <c r="F14" s="204" t="s">
        <v>152</v>
      </c>
      <c r="G14" s="204"/>
      <c r="H14" s="204"/>
      <c r="I14" s="28"/>
      <c r="J14" s="28"/>
      <c r="K14" s="28"/>
      <c r="L14" s="28"/>
      <c r="M14" s="28"/>
    </row>
    <row r="15" spans="1:13" ht="15">
      <c r="A15" s="195" t="s">
        <v>91</v>
      </c>
      <c r="B15" s="196"/>
      <c r="C15" s="196"/>
      <c r="D15" s="197"/>
      <c r="E15" s="29">
        <v>85.6</v>
      </c>
      <c r="F15" s="28"/>
      <c r="G15" s="28"/>
      <c r="H15" s="30"/>
      <c r="I15" s="28"/>
      <c r="J15" s="28"/>
      <c r="K15" s="28"/>
      <c r="L15" s="28"/>
      <c r="M15" s="28"/>
    </row>
    <row r="16" spans="1:13" ht="15.75" thickBot="1">
      <c r="A16" s="198" t="s">
        <v>92</v>
      </c>
      <c r="B16" s="199"/>
      <c r="C16" s="199"/>
      <c r="D16" s="200"/>
      <c r="E16" s="146"/>
      <c r="F16" s="28"/>
      <c r="G16" s="28"/>
      <c r="H16" s="28"/>
      <c r="I16" s="28"/>
      <c r="J16" s="28"/>
      <c r="K16" s="28"/>
      <c r="L16" s="28"/>
      <c r="M16" s="28"/>
    </row>
    <row r="17" spans="1:13" ht="19.5" customHeight="1" thickBot="1">
      <c r="A17" s="31"/>
      <c r="B17" s="32"/>
      <c r="C17" s="33"/>
      <c r="D17" s="34"/>
      <c r="E17" s="27"/>
      <c r="F17" s="28"/>
      <c r="G17" s="28"/>
      <c r="H17" s="28"/>
      <c r="I17" s="28"/>
      <c r="J17" s="28"/>
      <c r="K17" s="28"/>
      <c r="L17" s="28"/>
      <c r="M17" s="28"/>
    </row>
    <row r="18" spans="1:13" ht="36" thickBot="1">
      <c r="A18" s="35" t="s">
        <v>93</v>
      </c>
      <c r="B18" s="36" t="s">
        <v>94</v>
      </c>
      <c r="C18" s="36" t="s">
        <v>95</v>
      </c>
      <c r="D18" s="36" t="s">
        <v>96</v>
      </c>
      <c r="E18" s="36" t="s">
        <v>97</v>
      </c>
      <c r="F18" s="36" t="s">
        <v>68</v>
      </c>
      <c r="G18" s="36" t="s">
        <v>132</v>
      </c>
      <c r="H18" s="36" t="s">
        <v>98</v>
      </c>
      <c r="I18" s="36" t="s">
        <v>99</v>
      </c>
      <c r="J18" s="36" t="s">
        <v>100</v>
      </c>
      <c r="K18" s="36" t="s">
        <v>101</v>
      </c>
      <c r="L18" s="36" t="s">
        <v>102</v>
      </c>
      <c r="M18" s="37" t="s">
        <v>103</v>
      </c>
    </row>
    <row r="19" spans="1:13" ht="15">
      <c r="A19" s="38" t="s">
        <v>104</v>
      </c>
      <c r="B19" s="39" t="e">
        <f>E$3</f>
        <v>#DIV/0!</v>
      </c>
      <c r="C19" s="40" t="e">
        <f>E2*B19/30*5</f>
        <v>#DIV/0!</v>
      </c>
      <c r="D19" s="41">
        <f>E$6/12*5/30</f>
        <v>0</v>
      </c>
      <c r="E19" s="41">
        <f>E$8/12*5/30</f>
        <v>0</v>
      </c>
      <c r="F19" s="41">
        <f>E$10*5/30</f>
        <v>0</v>
      </c>
      <c r="G19" s="40">
        <f>85.6*5/30</f>
        <v>14.266666666666667</v>
      </c>
      <c r="H19" s="40">
        <f>5/30*E$14</f>
        <v>0</v>
      </c>
      <c r="I19" s="40">
        <f>E$11/48*5/30</f>
        <v>0</v>
      </c>
      <c r="J19" s="40">
        <f>E$12/24*5/30</f>
        <v>0</v>
      </c>
      <c r="K19" s="42">
        <v>0</v>
      </c>
      <c r="L19" s="42">
        <v>0</v>
      </c>
      <c r="M19" s="43" t="e">
        <f aca="true" t="shared" si="0" ref="M19:M35">C19-SUM(D19:L19)</f>
        <v>#DIV/0!</v>
      </c>
    </row>
    <row r="20" spans="1:13" ht="15">
      <c r="A20" s="44" t="s">
        <v>105</v>
      </c>
      <c r="B20" s="45" t="e">
        <f>E$3</f>
        <v>#DIV/0!</v>
      </c>
      <c r="C20" s="46" t="e">
        <f>$E$2*B20</f>
        <v>#DIV/0!</v>
      </c>
      <c r="D20" s="46">
        <f>E$6/12</f>
        <v>0</v>
      </c>
      <c r="E20" s="46">
        <f>E$8/12</f>
        <v>0</v>
      </c>
      <c r="F20" s="47">
        <f>E$10</f>
        <v>0</v>
      </c>
      <c r="G20" s="47">
        <f>E$15</f>
        <v>85.6</v>
      </c>
      <c r="H20" s="47">
        <f>E$14</f>
        <v>0</v>
      </c>
      <c r="I20" s="46">
        <f aca="true" t="shared" si="1" ref="I20:I32">E$11/48</f>
        <v>0</v>
      </c>
      <c r="J20" s="46">
        <f aca="true" t="shared" si="2" ref="J20:J32">E$12/24</f>
        <v>0</v>
      </c>
      <c r="K20" s="47">
        <v>0</v>
      </c>
      <c r="L20" s="47">
        <v>0</v>
      </c>
      <c r="M20" s="48" t="e">
        <f t="shared" si="0"/>
        <v>#DIV/0!</v>
      </c>
    </row>
    <row r="21" spans="1:13" ht="15">
      <c r="A21" s="44" t="s">
        <v>106</v>
      </c>
      <c r="B21" s="45" t="e">
        <f>E$4</f>
        <v>#DIV/0!</v>
      </c>
      <c r="C21" s="46" t="e">
        <f>$E$2*B21</f>
        <v>#DIV/0!</v>
      </c>
      <c r="D21" s="46">
        <f>E$6/12</f>
        <v>0</v>
      </c>
      <c r="E21" s="46">
        <f>E$8/12</f>
        <v>0</v>
      </c>
      <c r="F21" s="47">
        <f aca="true" t="shared" si="3" ref="F21:F35">E$10</f>
        <v>0</v>
      </c>
      <c r="G21" s="47">
        <f aca="true" t="shared" si="4" ref="G21:G35">E$15</f>
        <v>85.6</v>
      </c>
      <c r="H21" s="47">
        <f aca="true" t="shared" si="5" ref="H21:H35">E$14</f>
        <v>0</v>
      </c>
      <c r="I21" s="46">
        <f t="shared" si="1"/>
        <v>0</v>
      </c>
      <c r="J21" s="46">
        <f t="shared" si="2"/>
        <v>0</v>
      </c>
      <c r="K21" s="47">
        <v>0</v>
      </c>
      <c r="L21" s="47">
        <v>0</v>
      </c>
      <c r="M21" s="48" t="e">
        <f t="shared" si="0"/>
        <v>#DIV/0!</v>
      </c>
    </row>
    <row r="22" spans="1:13" ht="15">
      <c r="A22" s="44" t="s">
        <v>107</v>
      </c>
      <c r="B22" s="45" t="e">
        <f aca="true" t="shared" si="6" ref="B22:B32">E$4</f>
        <v>#DIV/0!</v>
      </c>
      <c r="C22" s="46" t="e">
        <f aca="true" t="shared" si="7" ref="C22:C35">$E$2*B22</f>
        <v>#DIV/0!</v>
      </c>
      <c r="D22" s="46">
        <f>E$6/12</f>
        <v>0</v>
      </c>
      <c r="E22" s="46">
        <f>E$8/12</f>
        <v>0</v>
      </c>
      <c r="F22" s="47">
        <f t="shared" si="3"/>
        <v>0</v>
      </c>
      <c r="G22" s="47">
        <f t="shared" si="4"/>
        <v>85.6</v>
      </c>
      <c r="H22" s="47">
        <f t="shared" si="5"/>
        <v>0</v>
      </c>
      <c r="I22" s="46">
        <f t="shared" si="1"/>
        <v>0</v>
      </c>
      <c r="J22" s="46">
        <f t="shared" si="2"/>
        <v>0</v>
      </c>
      <c r="K22" s="47">
        <v>0</v>
      </c>
      <c r="L22" s="47">
        <v>0</v>
      </c>
      <c r="M22" s="48" t="e">
        <f t="shared" si="0"/>
        <v>#DIV/0!</v>
      </c>
    </row>
    <row r="23" spans="1:13" ht="15">
      <c r="A23" s="44" t="s">
        <v>108</v>
      </c>
      <c r="B23" s="45" t="e">
        <f t="shared" si="6"/>
        <v>#DIV/0!</v>
      </c>
      <c r="C23" s="46" t="e">
        <f t="shared" si="7"/>
        <v>#DIV/0!</v>
      </c>
      <c r="D23" s="46">
        <f>E$6/12</f>
        <v>0</v>
      </c>
      <c r="E23" s="46">
        <f>E$8/12</f>
        <v>0</v>
      </c>
      <c r="F23" s="47">
        <f t="shared" si="3"/>
        <v>0</v>
      </c>
      <c r="G23" s="47">
        <f t="shared" si="4"/>
        <v>85.6</v>
      </c>
      <c r="H23" s="47">
        <f t="shared" si="5"/>
        <v>0</v>
      </c>
      <c r="I23" s="46">
        <f t="shared" si="1"/>
        <v>0</v>
      </c>
      <c r="J23" s="46">
        <f t="shared" si="2"/>
        <v>0</v>
      </c>
      <c r="K23" s="47">
        <v>0</v>
      </c>
      <c r="L23" s="47">
        <v>0</v>
      </c>
      <c r="M23" s="48" t="e">
        <f t="shared" si="0"/>
        <v>#DIV/0!</v>
      </c>
    </row>
    <row r="24" spans="1:13" ht="15">
      <c r="A24" s="44" t="s">
        <v>109</v>
      </c>
      <c r="B24" s="49" t="e">
        <f t="shared" si="6"/>
        <v>#DIV/0!</v>
      </c>
      <c r="C24" s="46" t="e">
        <f t="shared" si="7"/>
        <v>#DIV/0!</v>
      </c>
      <c r="D24" s="50">
        <f>E$7/12</f>
        <v>0</v>
      </c>
      <c r="E24" s="50">
        <f>E$9/12</f>
        <v>0</v>
      </c>
      <c r="F24" s="47">
        <f t="shared" si="3"/>
        <v>0</v>
      </c>
      <c r="G24" s="51">
        <f t="shared" si="4"/>
        <v>85.6</v>
      </c>
      <c r="H24" s="51">
        <f t="shared" si="5"/>
        <v>0</v>
      </c>
      <c r="I24" s="50">
        <f t="shared" si="1"/>
        <v>0</v>
      </c>
      <c r="J24" s="50">
        <f t="shared" si="2"/>
        <v>0</v>
      </c>
      <c r="K24" s="51">
        <v>0</v>
      </c>
      <c r="L24" s="51">
        <v>0</v>
      </c>
      <c r="M24" s="52" t="e">
        <f t="shared" si="0"/>
        <v>#DIV/0!</v>
      </c>
    </row>
    <row r="25" spans="1:13" ht="15">
      <c r="A25" s="44" t="s">
        <v>110</v>
      </c>
      <c r="B25" s="49" t="e">
        <f t="shared" si="6"/>
        <v>#DIV/0!</v>
      </c>
      <c r="C25" s="46" t="e">
        <f t="shared" si="7"/>
        <v>#DIV/0!</v>
      </c>
      <c r="D25" s="50">
        <f aca="true" t="shared" si="8" ref="D25:D35">E$7/12</f>
        <v>0</v>
      </c>
      <c r="E25" s="50">
        <f aca="true" t="shared" si="9" ref="E25:E35">E$9/12</f>
        <v>0</v>
      </c>
      <c r="F25" s="47">
        <f t="shared" si="3"/>
        <v>0</v>
      </c>
      <c r="G25" s="51">
        <f t="shared" si="4"/>
        <v>85.6</v>
      </c>
      <c r="H25" s="51">
        <f t="shared" si="5"/>
        <v>0</v>
      </c>
      <c r="I25" s="50">
        <f t="shared" si="1"/>
        <v>0</v>
      </c>
      <c r="J25" s="50">
        <f t="shared" si="2"/>
        <v>0</v>
      </c>
      <c r="K25" s="51">
        <v>0</v>
      </c>
      <c r="L25" s="51">
        <v>0</v>
      </c>
      <c r="M25" s="52" t="e">
        <f t="shared" si="0"/>
        <v>#DIV/0!</v>
      </c>
    </row>
    <row r="26" spans="1:13" ht="15">
      <c r="A26" s="44" t="s">
        <v>111</v>
      </c>
      <c r="B26" s="49" t="e">
        <f t="shared" si="6"/>
        <v>#DIV/0!</v>
      </c>
      <c r="C26" s="46" t="e">
        <f t="shared" si="7"/>
        <v>#DIV/0!</v>
      </c>
      <c r="D26" s="50">
        <f t="shared" si="8"/>
        <v>0</v>
      </c>
      <c r="E26" s="50">
        <f t="shared" si="9"/>
        <v>0</v>
      </c>
      <c r="F26" s="51">
        <f t="shared" si="3"/>
        <v>0</v>
      </c>
      <c r="G26" s="51">
        <f t="shared" si="4"/>
        <v>85.6</v>
      </c>
      <c r="H26" s="51">
        <f t="shared" si="5"/>
        <v>0</v>
      </c>
      <c r="I26" s="50">
        <f t="shared" si="1"/>
        <v>0</v>
      </c>
      <c r="J26" s="50">
        <f t="shared" si="2"/>
        <v>0</v>
      </c>
      <c r="K26" s="51">
        <v>0</v>
      </c>
      <c r="L26" s="51">
        <v>0</v>
      </c>
      <c r="M26" s="52" t="e">
        <f t="shared" si="0"/>
        <v>#DIV/0!</v>
      </c>
    </row>
    <row r="27" spans="1:13" ht="15">
      <c r="A27" s="44" t="s">
        <v>112</v>
      </c>
      <c r="B27" s="49" t="e">
        <f t="shared" si="6"/>
        <v>#DIV/0!</v>
      </c>
      <c r="C27" s="46" t="e">
        <f t="shared" si="7"/>
        <v>#DIV/0!</v>
      </c>
      <c r="D27" s="50">
        <f t="shared" si="8"/>
        <v>0</v>
      </c>
      <c r="E27" s="50">
        <f t="shared" si="9"/>
        <v>0</v>
      </c>
      <c r="F27" s="51">
        <f t="shared" si="3"/>
        <v>0</v>
      </c>
      <c r="G27" s="51">
        <f t="shared" si="4"/>
        <v>85.6</v>
      </c>
      <c r="H27" s="51">
        <f t="shared" si="5"/>
        <v>0</v>
      </c>
      <c r="I27" s="50">
        <f t="shared" si="1"/>
        <v>0</v>
      </c>
      <c r="J27" s="50">
        <f t="shared" si="2"/>
        <v>0</v>
      </c>
      <c r="K27" s="51">
        <v>0</v>
      </c>
      <c r="L27" s="51">
        <v>0</v>
      </c>
      <c r="M27" s="52" t="e">
        <f t="shared" si="0"/>
        <v>#DIV/0!</v>
      </c>
    </row>
    <row r="28" spans="1:13" ht="15">
      <c r="A28" s="44" t="s">
        <v>113</v>
      </c>
      <c r="B28" s="49" t="e">
        <f t="shared" si="6"/>
        <v>#DIV/0!</v>
      </c>
      <c r="C28" s="46" t="e">
        <f t="shared" si="7"/>
        <v>#DIV/0!</v>
      </c>
      <c r="D28" s="50">
        <f t="shared" si="8"/>
        <v>0</v>
      </c>
      <c r="E28" s="50">
        <f t="shared" si="9"/>
        <v>0</v>
      </c>
      <c r="F28" s="51">
        <f t="shared" si="3"/>
        <v>0</v>
      </c>
      <c r="G28" s="51">
        <f t="shared" si="4"/>
        <v>85.6</v>
      </c>
      <c r="H28" s="51">
        <f t="shared" si="5"/>
        <v>0</v>
      </c>
      <c r="I28" s="50">
        <f t="shared" si="1"/>
        <v>0</v>
      </c>
      <c r="J28" s="50">
        <f t="shared" si="2"/>
        <v>0</v>
      </c>
      <c r="K28" s="51">
        <v>0</v>
      </c>
      <c r="L28" s="51">
        <v>0</v>
      </c>
      <c r="M28" s="52" t="e">
        <f t="shared" si="0"/>
        <v>#DIV/0!</v>
      </c>
    </row>
    <row r="29" spans="1:13" ht="15">
      <c r="A29" s="44" t="s">
        <v>114</v>
      </c>
      <c r="B29" s="49" t="e">
        <f t="shared" si="6"/>
        <v>#DIV/0!</v>
      </c>
      <c r="C29" s="46" t="e">
        <f t="shared" si="7"/>
        <v>#DIV/0!</v>
      </c>
      <c r="D29" s="50">
        <f t="shared" si="8"/>
        <v>0</v>
      </c>
      <c r="E29" s="50">
        <f t="shared" si="9"/>
        <v>0</v>
      </c>
      <c r="F29" s="51">
        <f t="shared" si="3"/>
        <v>0</v>
      </c>
      <c r="G29" s="51">
        <f t="shared" si="4"/>
        <v>85.6</v>
      </c>
      <c r="H29" s="51">
        <f t="shared" si="5"/>
        <v>0</v>
      </c>
      <c r="I29" s="50">
        <f t="shared" si="1"/>
        <v>0</v>
      </c>
      <c r="J29" s="50">
        <f t="shared" si="2"/>
        <v>0</v>
      </c>
      <c r="K29" s="51">
        <v>0</v>
      </c>
      <c r="L29" s="51">
        <f>E$16</f>
        <v>0</v>
      </c>
      <c r="M29" s="52" t="e">
        <f t="shared" si="0"/>
        <v>#DIV/0!</v>
      </c>
    </row>
    <row r="30" spans="1:13" ht="15">
      <c r="A30" s="44" t="s">
        <v>115</v>
      </c>
      <c r="B30" s="49" t="e">
        <f t="shared" si="6"/>
        <v>#DIV/0!</v>
      </c>
      <c r="C30" s="46" t="e">
        <f t="shared" si="7"/>
        <v>#DIV/0!</v>
      </c>
      <c r="D30" s="50">
        <f t="shared" si="8"/>
        <v>0</v>
      </c>
      <c r="E30" s="50">
        <f t="shared" si="9"/>
        <v>0</v>
      </c>
      <c r="F30" s="51">
        <f t="shared" si="3"/>
        <v>0</v>
      </c>
      <c r="G30" s="51">
        <f t="shared" si="4"/>
        <v>85.6</v>
      </c>
      <c r="H30" s="51">
        <f t="shared" si="5"/>
        <v>0</v>
      </c>
      <c r="I30" s="50">
        <f t="shared" si="1"/>
        <v>0</v>
      </c>
      <c r="J30" s="50">
        <f t="shared" si="2"/>
        <v>0</v>
      </c>
      <c r="K30" s="50">
        <f aca="true" t="shared" si="10" ref="K30:K35">E$13*0.1/12</f>
        <v>0</v>
      </c>
      <c r="L30" s="51">
        <v>0</v>
      </c>
      <c r="M30" s="52" t="e">
        <f t="shared" si="0"/>
        <v>#DIV/0!</v>
      </c>
    </row>
    <row r="31" spans="1:13" ht="15">
      <c r="A31" s="44" t="s">
        <v>116</v>
      </c>
      <c r="B31" s="49" t="e">
        <f t="shared" si="6"/>
        <v>#DIV/0!</v>
      </c>
      <c r="C31" s="46" t="e">
        <f t="shared" si="7"/>
        <v>#DIV/0!</v>
      </c>
      <c r="D31" s="50">
        <f t="shared" si="8"/>
        <v>0</v>
      </c>
      <c r="E31" s="50">
        <f t="shared" si="9"/>
        <v>0</v>
      </c>
      <c r="F31" s="51">
        <f t="shared" si="3"/>
        <v>0</v>
      </c>
      <c r="G31" s="51">
        <f t="shared" si="4"/>
        <v>85.6</v>
      </c>
      <c r="H31" s="51">
        <f t="shared" si="5"/>
        <v>0</v>
      </c>
      <c r="I31" s="50">
        <f t="shared" si="1"/>
        <v>0</v>
      </c>
      <c r="J31" s="50">
        <f t="shared" si="2"/>
        <v>0</v>
      </c>
      <c r="K31" s="50">
        <f t="shared" si="10"/>
        <v>0</v>
      </c>
      <c r="L31" s="51">
        <v>0</v>
      </c>
      <c r="M31" s="52" t="e">
        <f t="shared" si="0"/>
        <v>#DIV/0!</v>
      </c>
    </row>
    <row r="32" spans="1:13" ht="15">
      <c r="A32" s="44" t="s">
        <v>117</v>
      </c>
      <c r="B32" s="49" t="e">
        <f t="shared" si="6"/>
        <v>#DIV/0!</v>
      </c>
      <c r="C32" s="46" t="e">
        <f t="shared" si="7"/>
        <v>#DIV/0!</v>
      </c>
      <c r="D32" s="50">
        <f t="shared" si="8"/>
        <v>0</v>
      </c>
      <c r="E32" s="50">
        <f t="shared" si="9"/>
        <v>0</v>
      </c>
      <c r="F32" s="51">
        <f t="shared" si="3"/>
        <v>0</v>
      </c>
      <c r="G32" s="51">
        <f t="shared" si="4"/>
        <v>85.6</v>
      </c>
      <c r="H32" s="51">
        <f t="shared" si="5"/>
        <v>0</v>
      </c>
      <c r="I32" s="50">
        <f t="shared" si="1"/>
        <v>0</v>
      </c>
      <c r="J32" s="50">
        <f t="shared" si="2"/>
        <v>0</v>
      </c>
      <c r="K32" s="50">
        <f t="shared" si="10"/>
        <v>0</v>
      </c>
      <c r="L32" s="51">
        <v>0</v>
      </c>
      <c r="M32" s="52" t="e">
        <f t="shared" si="0"/>
        <v>#DIV/0!</v>
      </c>
    </row>
    <row r="33" spans="1:13" ht="15">
      <c r="A33" s="53" t="s">
        <v>118</v>
      </c>
      <c r="B33" s="49" t="e">
        <f>E$5</f>
        <v>#DIV/0!</v>
      </c>
      <c r="C33" s="46" t="e">
        <f t="shared" si="7"/>
        <v>#DIV/0!</v>
      </c>
      <c r="D33" s="50">
        <f t="shared" si="8"/>
        <v>0</v>
      </c>
      <c r="E33" s="50">
        <f t="shared" si="9"/>
        <v>0</v>
      </c>
      <c r="F33" s="51">
        <f t="shared" si="3"/>
        <v>0</v>
      </c>
      <c r="G33" s="51">
        <f t="shared" si="4"/>
        <v>85.6</v>
      </c>
      <c r="H33" s="51">
        <f t="shared" si="5"/>
        <v>0</v>
      </c>
      <c r="I33" s="50">
        <v>0</v>
      </c>
      <c r="J33" s="50">
        <v>0</v>
      </c>
      <c r="K33" s="50">
        <f t="shared" si="10"/>
        <v>0</v>
      </c>
      <c r="L33" s="51">
        <v>0</v>
      </c>
      <c r="M33" s="54" t="e">
        <f t="shared" si="0"/>
        <v>#DIV/0!</v>
      </c>
    </row>
    <row r="34" spans="1:13" ht="15">
      <c r="A34" s="53" t="s">
        <v>119</v>
      </c>
      <c r="B34" s="49" t="e">
        <f>E$5</f>
        <v>#DIV/0!</v>
      </c>
      <c r="C34" s="46" t="e">
        <f t="shared" si="7"/>
        <v>#DIV/0!</v>
      </c>
      <c r="D34" s="50">
        <f t="shared" si="8"/>
        <v>0</v>
      </c>
      <c r="E34" s="50">
        <f t="shared" si="9"/>
        <v>0</v>
      </c>
      <c r="F34" s="51">
        <f t="shared" si="3"/>
        <v>0</v>
      </c>
      <c r="G34" s="51">
        <f t="shared" si="4"/>
        <v>85.6</v>
      </c>
      <c r="H34" s="51">
        <f t="shared" si="5"/>
        <v>0</v>
      </c>
      <c r="I34" s="50">
        <v>0</v>
      </c>
      <c r="J34" s="50">
        <v>0</v>
      </c>
      <c r="K34" s="50">
        <f t="shared" si="10"/>
        <v>0</v>
      </c>
      <c r="L34" s="51">
        <v>0</v>
      </c>
      <c r="M34" s="54" t="e">
        <f t="shared" si="0"/>
        <v>#DIV/0!</v>
      </c>
    </row>
    <row r="35" spans="1:13" ht="15.75" thickBot="1">
      <c r="A35" s="55" t="s">
        <v>120</v>
      </c>
      <c r="B35" s="56" t="e">
        <f>E$5</f>
        <v>#DIV/0!</v>
      </c>
      <c r="C35" s="46" t="e">
        <f t="shared" si="7"/>
        <v>#DIV/0!</v>
      </c>
      <c r="D35" s="50">
        <f t="shared" si="8"/>
        <v>0</v>
      </c>
      <c r="E35" s="50">
        <f t="shared" si="9"/>
        <v>0</v>
      </c>
      <c r="F35" s="51">
        <f t="shared" si="3"/>
        <v>0</v>
      </c>
      <c r="G35" s="51">
        <f t="shared" si="4"/>
        <v>85.6</v>
      </c>
      <c r="H35" s="51">
        <f t="shared" si="5"/>
        <v>0</v>
      </c>
      <c r="I35" s="50">
        <v>0</v>
      </c>
      <c r="J35" s="50">
        <v>0</v>
      </c>
      <c r="K35" s="50">
        <f t="shared" si="10"/>
        <v>0</v>
      </c>
      <c r="L35" s="51">
        <v>0</v>
      </c>
      <c r="M35" s="57" t="e">
        <f t="shared" si="0"/>
        <v>#DIV/0!</v>
      </c>
    </row>
    <row r="36" spans="1:13" ht="15.75" thickBot="1">
      <c r="A36" s="201"/>
      <c r="B36" s="202"/>
      <c r="C36" s="202"/>
      <c r="D36" s="203"/>
      <c r="E36" s="192" t="s">
        <v>137</v>
      </c>
      <c r="F36" s="193"/>
      <c r="G36" s="193"/>
      <c r="H36" s="193"/>
      <c r="I36" s="193"/>
      <c r="J36" s="193"/>
      <c r="K36" s="193"/>
      <c r="L36" s="194"/>
      <c r="M36" s="58" t="e">
        <f>SUM(M19:M35)</f>
        <v>#DIV/0!</v>
      </c>
    </row>
    <row r="37" ht="15.75" thickBot="1"/>
    <row r="38" spans="1:13" s="70" customFormat="1" ht="15" thickBot="1">
      <c r="A38" s="189" t="s">
        <v>146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1"/>
    </row>
    <row r="39" spans="1:13" s="70" customFormat="1" ht="14.2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7"/>
    </row>
    <row r="40" spans="1:13" s="70" customFormat="1" ht="14.25">
      <c r="A40" s="72" t="s">
        <v>145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8" t="e">
        <f>+E5*0.47*6</f>
        <v>#DIV/0!</v>
      </c>
    </row>
    <row r="41" spans="1:13" s="70" customFormat="1" ht="14.25">
      <c r="A41" s="74" t="s">
        <v>139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8"/>
    </row>
    <row r="42" spans="1:13" s="70" customFormat="1" ht="14.25">
      <c r="A42" s="72" t="s">
        <v>140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147">
        <v>0</v>
      </c>
    </row>
    <row r="43" spans="1:13" s="70" customFormat="1" ht="14.25">
      <c r="A43" s="72" t="s">
        <v>66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147">
        <v>0</v>
      </c>
    </row>
    <row r="44" spans="1:13" s="70" customFormat="1" ht="14.25">
      <c r="A44" s="72" t="s">
        <v>141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147">
        <v>0</v>
      </c>
    </row>
    <row r="45" spans="1:13" s="70" customFormat="1" ht="14.25">
      <c r="A45" s="72" t="s">
        <v>142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147">
        <v>0</v>
      </c>
    </row>
    <row r="46" spans="1:13" s="70" customFormat="1" ht="14.25">
      <c r="A46" s="72" t="s">
        <v>143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147">
        <v>0</v>
      </c>
    </row>
    <row r="47" spans="1:13" s="70" customFormat="1" ht="14.25">
      <c r="A47" s="72" t="s">
        <v>138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8">
        <f>+F35*6</f>
        <v>0</v>
      </c>
    </row>
    <row r="48" spans="1:13" s="70" customFormat="1" ht="14.25">
      <c r="A48" s="72" t="s">
        <v>69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8">
        <f>+G35*6</f>
        <v>513.5999999999999</v>
      </c>
    </row>
    <row r="49" spans="1:13" s="70" customFormat="1" ht="14.25">
      <c r="A49" s="72" t="s">
        <v>67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8">
        <f>+H35*6</f>
        <v>0</v>
      </c>
    </row>
    <row r="50" spans="1:13" s="70" customFormat="1" ht="14.25">
      <c r="A50" s="72" t="s">
        <v>144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8">
        <f>+K35*6</f>
        <v>0</v>
      </c>
    </row>
    <row r="51" spans="1:13" s="70" customFormat="1" ht="14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8"/>
    </row>
    <row r="52" spans="1:13" s="70" customFormat="1" ht="15" thickBo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9" t="e">
        <f>M40-SUM(M42:M51)</f>
        <v>#DIV/0!</v>
      </c>
    </row>
    <row r="53" s="70" customFormat="1" ht="15" thickBot="1">
      <c r="M53" s="71"/>
    </row>
    <row r="54" spans="1:13" ht="16.5" thickBot="1">
      <c r="A54" s="205" t="s">
        <v>163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7"/>
    </row>
    <row r="55" ht="15">
      <c r="A55" s="155" t="s">
        <v>161</v>
      </c>
    </row>
  </sheetData>
  <sheetProtection password="D12F" sheet="1" objects="1" scenarios="1" selectLockedCells="1"/>
  <mergeCells count="30">
    <mergeCell ref="F11:H11"/>
    <mergeCell ref="F12:H12"/>
    <mergeCell ref="F13:H13"/>
    <mergeCell ref="F6:H6"/>
    <mergeCell ref="F7:H7"/>
    <mergeCell ref="F8:H8"/>
    <mergeCell ref="F9:H9"/>
    <mergeCell ref="A54:M54"/>
    <mergeCell ref="A11:D11"/>
    <mergeCell ref="A1:D1"/>
    <mergeCell ref="E1:H1"/>
    <mergeCell ref="A2:D2"/>
    <mergeCell ref="A3:D3"/>
    <mergeCell ref="A4:D4"/>
    <mergeCell ref="A5:D5"/>
    <mergeCell ref="A6:D6"/>
    <mergeCell ref="F10:H10"/>
    <mergeCell ref="A7:D7"/>
    <mergeCell ref="A8:D8"/>
    <mergeCell ref="A9:D9"/>
    <mergeCell ref="A10:D10"/>
    <mergeCell ref="A38:M38"/>
    <mergeCell ref="E36:L36"/>
    <mergeCell ref="A12:D12"/>
    <mergeCell ref="A13:D13"/>
    <mergeCell ref="A14:D14"/>
    <mergeCell ref="A15:D15"/>
    <mergeCell ref="A16:D16"/>
    <mergeCell ref="A36:D36"/>
    <mergeCell ref="F14:H14"/>
  </mergeCells>
  <conditionalFormatting sqref="A26:A32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A33:A35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A19:A35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41" bottom="0.54" header="0.24" footer="0.3"/>
  <pageSetup fitToHeight="1" fitToWidth="1" horizontalDpi="600" verticalDpi="600" orientation="landscape" scale="68" r:id="rId1"/>
  <headerFooter alignWithMargins="0">
    <oddFooter>&amp;L&amp;"-,Bold"NATIONAL UNION OF ONGC EMPLOYEES, DEHRADUN&amp;R&amp;"-,Bold Italic"Anurag Prakash
(Mob.: 09410390436)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A28" sqref="A28"/>
    </sheetView>
  </sheetViews>
  <sheetFormatPr defaultColWidth="9.140625" defaultRowHeight="21" customHeight="1"/>
  <cols>
    <col min="1" max="1" width="42.8515625" style="7" customWidth="1"/>
    <col min="2" max="2" width="11.28125" style="7" bestFit="1" customWidth="1"/>
    <col min="3" max="4" width="9.140625" style="7" customWidth="1"/>
    <col min="5" max="5" width="12.421875" style="7" customWidth="1"/>
    <col min="6" max="16384" width="9.140625" style="7" customWidth="1"/>
  </cols>
  <sheetData>
    <row r="1" ht="21" customHeight="1" thickBot="1"/>
    <row r="2" spans="1:5" ht="21" customHeight="1" thickBot="1">
      <c r="A2" s="211" t="s">
        <v>133</v>
      </c>
      <c r="B2" s="212"/>
      <c r="C2" s="212"/>
      <c r="D2" s="212"/>
      <c r="E2" s="213"/>
    </row>
    <row r="3" spans="1:5" ht="21" customHeight="1">
      <c r="A3" s="63" t="s">
        <v>155</v>
      </c>
      <c r="B3" s="64"/>
      <c r="C3" s="64"/>
      <c r="D3" s="65"/>
      <c r="E3" s="9" t="e">
        <f>+'ARREAR CALCULATION'!P25</f>
        <v>#DIV/0!</v>
      </c>
    </row>
    <row r="4" spans="1:5" ht="21" customHeight="1">
      <c r="A4" s="66" t="s">
        <v>134</v>
      </c>
      <c r="B4" s="67"/>
      <c r="C4" s="67"/>
      <c r="D4" s="59"/>
      <c r="E4" s="9" t="e">
        <f>+'ARREAR CALCULATION'!T23</f>
        <v>#DIV/0!</v>
      </c>
    </row>
    <row r="5" spans="1:5" ht="30">
      <c r="A5" s="68" t="s">
        <v>150</v>
      </c>
      <c r="B5" s="67"/>
      <c r="C5" s="67"/>
      <c r="D5" s="59"/>
      <c r="E5" s="9" t="e">
        <f>+'PERKS ARREARS'!M36</f>
        <v>#DIV/0!</v>
      </c>
    </row>
    <row r="6" spans="1:5" ht="30">
      <c r="A6" s="82" t="s">
        <v>151</v>
      </c>
      <c r="B6" s="67"/>
      <c r="C6" s="67"/>
      <c r="D6" s="59"/>
      <c r="E6" s="81" t="e">
        <f>+'PERKS ARREARS'!M52</f>
        <v>#DIV/0!</v>
      </c>
    </row>
    <row r="7" spans="1:5" ht="21" customHeight="1">
      <c r="A7" s="66" t="s">
        <v>128</v>
      </c>
      <c r="B7" s="67"/>
      <c r="C7" s="67"/>
      <c r="D7" s="59"/>
      <c r="E7" s="9" t="e">
        <f>+'ARREAR CALCULATION'!W23</f>
        <v>#DIV/0!</v>
      </c>
    </row>
    <row r="8" spans="1:5" s="153" customFormat="1" ht="21" customHeight="1">
      <c r="A8" s="149" t="s">
        <v>135</v>
      </c>
      <c r="B8" s="150"/>
      <c r="C8" s="150"/>
      <c r="D8" s="151"/>
      <c r="E8" s="152" t="e">
        <f>SUM(E3:E7)</f>
        <v>#DIV/0!</v>
      </c>
    </row>
    <row r="9" spans="1:5" ht="21" customHeight="1">
      <c r="A9" s="69" t="s">
        <v>136</v>
      </c>
      <c r="B9" s="67"/>
      <c r="C9" s="67"/>
      <c r="D9" s="59"/>
      <c r="E9" s="9"/>
    </row>
    <row r="10" spans="1:5" ht="21" customHeight="1">
      <c r="A10" s="66" t="s">
        <v>147</v>
      </c>
      <c r="B10" s="67"/>
      <c r="C10" s="67"/>
      <c r="D10" s="59"/>
      <c r="E10" s="9" t="e">
        <f>-SUM('ARREAR CALCULATION'!E23:K23)*12%</f>
        <v>#DIV/0!</v>
      </c>
    </row>
    <row r="11" spans="1:5" ht="21" customHeight="1">
      <c r="A11" s="66" t="s">
        <v>148</v>
      </c>
      <c r="B11" s="80" t="s">
        <v>149</v>
      </c>
      <c r="C11" s="148"/>
      <c r="D11" s="59"/>
      <c r="E11" s="9" t="e">
        <f>-E8*(C11*1.03)</f>
        <v>#DIV/0!</v>
      </c>
    </row>
    <row r="12" spans="1:5" s="153" customFormat="1" ht="41.25" customHeight="1">
      <c r="A12" s="157" t="s">
        <v>164</v>
      </c>
      <c r="B12" s="158"/>
      <c r="C12" s="158"/>
      <c r="D12" s="159"/>
      <c r="E12" s="160" t="e">
        <f>SUM(E8:E11)</f>
        <v>#DIV/0!</v>
      </c>
    </row>
    <row r="13" ht="21" customHeight="1" thickBot="1"/>
    <row r="14" spans="1:13" ht="21" customHeight="1" thickBot="1">
      <c r="A14" s="205" t="s">
        <v>163</v>
      </c>
      <c r="B14" s="206"/>
      <c r="C14" s="206"/>
      <c r="D14" s="206"/>
      <c r="E14" s="207"/>
      <c r="F14" s="156"/>
      <c r="G14" s="156"/>
      <c r="H14" s="156"/>
      <c r="I14" s="156"/>
      <c r="J14" s="156"/>
      <c r="K14" s="156"/>
      <c r="L14" s="156"/>
      <c r="M14" s="156"/>
    </row>
    <row r="15" ht="21" customHeight="1">
      <c r="A15" s="155" t="s">
        <v>161</v>
      </c>
    </row>
  </sheetData>
  <sheetProtection password="D12F" sheet="1" objects="1" scenarios="1"/>
  <mergeCells count="2">
    <mergeCell ref="A2:E2"/>
    <mergeCell ref="A14:E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068871</dc:creator>
  <cp:keywords/>
  <dc:description/>
  <cp:lastModifiedBy>ONGC</cp:lastModifiedBy>
  <cp:lastPrinted>2010-09-10T07:12:41Z</cp:lastPrinted>
  <dcterms:created xsi:type="dcterms:W3CDTF">2010-02-12T06:33:06Z</dcterms:created>
  <dcterms:modified xsi:type="dcterms:W3CDTF">2010-09-20T07:47:04Z</dcterms:modified>
  <cp:category/>
  <cp:version/>
  <cp:contentType/>
  <cp:contentStatus/>
</cp:coreProperties>
</file>